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028"/>
  <workbookPr/>
  <mc:AlternateContent xmlns:mc="http://schemas.openxmlformats.org/markup-compatibility/2006">
    <mc:Choice Requires="x15">
      <x15ac:absPath xmlns:x15ac="http://schemas.microsoft.com/office/spreadsheetml/2010/11/ac" url="C:\Users\BarbieBenz\Benz\งาน\สวผ. กตป\2565\Web\650417\"/>
    </mc:Choice>
  </mc:AlternateContent>
  <xr:revisionPtr revIDLastSave="0" documentId="13_ncr:1_{E04EB338-B60D-40A7-BD5D-FC2E2700F4BC}" xr6:coauthVersionLast="47" xr6:coauthVersionMax="47" xr10:uidLastSave="{00000000-0000-0000-0000-000000000000}"/>
  <bookViews>
    <workbookView xWindow="-110" yWindow="-110" windowWidth="19420" windowHeight="10300" xr2:uid="{00000000-000D-0000-FFFF-FFFF00000000}"/>
  </bookViews>
  <sheets>
    <sheet name="รวมใต้" sheetId="1" r:id="rId1"/>
    <sheet name="กระบี่" sheetId="2" r:id="rId2"/>
    <sheet name="ชุมพร" sheetId="3" r:id="rId3"/>
    <sheet name="ตรัง" sheetId="4" r:id="rId4"/>
    <sheet name="นครศรีธรรมราช" sheetId="5" r:id="rId5"/>
    <sheet name="นราธิวาส" sheetId="6" r:id="rId6"/>
    <sheet name="ปัตตานี" sheetId="7" r:id="rId7"/>
    <sheet name="พังงา" sheetId="8" r:id="rId8"/>
    <sheet name="พัทลุง" sheetId="9" r:id="rId9"/>
    <sheet name="ภูเก็ต" sheetId="10" r:id="rId10"/>
    <sheet name="ยะลา" sheetId="11" r:id="rId11"/>
    <sheet name="ระนอง" sheetId="12" r:id="rId12"/>
    <sheet name="สงขลา" sheetId="13" r:id="rId13"/>
    <sheet name="สตูล" sheetId="14" r:id="rId14"/>
    <sheet name="สุราษฎร์ธานี" sheetId="15" r:id="rId15"/>
  </sheets>
  <definedNames>
    <definedName name="_xlnm.Print_Titles" localSheetId="1">กระบี่!$1:$6</definedName>
    <definedName name="_xlnm.Print_Titles" localSheetId="2">ชุมพร!$1:$6</definedName>
    <definedName name="_xlnm.Print_Titles" localSheetId="3">ตรัง!$1:$6</definedName>
    <definedName name="_xlnm.Print_Titles" localSheetId="4">นครศรีธรรมราช!$1:$6</definedName>
    <definedName name="_xlnm.Print_Titles" localSheetId="5">นราธิวาส!$1:$6</definedName>
    <definedName name="_xlnm.Print_Titles" localSheetId="6">ปัตตานี!$1:$6</definedName>
    <definedName name="_xlnm.Print_Titles" localSheetId="7">พังงา!$1:$6</definedName>
    <definedName name="_xlnm.Print_Titles" localSheetId="8">พัทลุง!$1:$6</definedName>
    <definedName name="_xlnm.Print_Titles" localSheetId="9">ภูเก็ต!$1:$6</definedName>
    <definedName name="_xlnm.Print_Titles" localSheetId="10">ยะลา!$1:$6</definedName>
    <definedName name="_xlnm.Print_Titles" localSheetId="0">รวมใต้!$1:$6</definedName>
    <definedName name="_xlnm.Print_Titles" localSheetId="11">ระนอง!$1:$6</definedName>
    <definedName name="_xlnm.Print_Titles" localSheetId="12">สงขลา!$1:$6</definedName>
    <definedName name="_xlnm.Print_Titles" localSheetId="13">สตูล!$1:$6</definedName>
    <definedName name="_xlnm.Print_Titles" localSheetId="14">สุราษฎร์ธานี!$1:$6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J635" i="15" l="1"/>
  <c r="I635" i="15"/>
  <c r="J634" i="15"/>
  <c r="I634" i="15"/>
  <c r="J633" i="15"/>
  <c r="I633" i="15"/>
  <c r="K633" i="15" s="1"/>
  <c r="J632" i="15"/>
  <c r="I632" i="15"/>
  <c r="K632" i="15" s="1"/>
  <c r="J631" i="15"/>
  <c r="I631" i="15"/>
  <c r="J630" i="15"/>
  <c r="I630" i="15"/>
  <c r="J629" i="15"/>
  <c r="I629" i="15"/>
  <c r="J628" i="15"/>
  <c r="I628" i="15"/>
  <c r="J626" i="15"/>
  <c r="I626" i="15"/>
  <c r="J625" i="15"/>
  <c r="I625" i="15"/>
  <c r="J624" i="15"/>
  <c r="I624" i="15"/>
  <c r="J623" i="15"/>
  <c r="I623" i="15"/>
  <c r="J622" i="15"/>
  <c r="I622" i="15"/>
  <c r="J621" i="15"/>
  <c r="I621" i="15"/>
  <c r="J620" i="15"/>
  <c r="I620" i="15"/>
  <c r="K626" i="15" s="1"/>
  <c r="J619" i="15"/>
  <c r="I619" i="15"/>
  <c r="J618" i="15"/>
  <c r="I618" i="15"/>
  <c r="J617" i="15"/>
  <c r="I617" i="15"/>
  <c r="J616" i="15"/>
  <c r="I616" i="15"/>
  <c r="J615" i="15"/>
  <c r="I615" i="15"/>
  <c r="J614" i="15"/>
  <c r="I614" i="15"/>
  <c r="J613" i="15"/>
  <c r="I613" i="15"/>
  <c r="J612" i="15"/>
  <c r="I612" i="15"/>
  <c r="J611" i="15"/>
  <c r="I611" i="15"/>
  <c r="J610" i="15"/>
  <c r="J609" i="15"/>
  <c r="J608" i="15"/>
  <c r="J607" i="15"/>
  <c r="N605" i="15"/>
  <c r="N604" i="15"/>
  <c r="N603" i="15"/>
  <c r="N602" i="15"/>
  <c r="N601" i="15"/>
  <c r="L601" i="15"/>
  <c r="N600" i="15"/>
  <c r="L600" i="15"/>
  <c r="O600" i="15" s="1"/>
  <c r="N599" i="15"/>
  <c r="L599" i="15"/>
  <c r="N598" i="15"/>
  <c r="L598" i="15"/>
  <c r="O598" i="15" s="1"/>
  <c r="N597" i="15"/>
  <c r="L597" i="15"/>
  <c r="J597" i="15"/>
  <c r="I597" i="15"/>
  <c r="J596" i="15"/>
  <c r="I596" i="15"/>
  <c r="K596" i="15" s="1"/>
  <c r="J595" i="15"/>
  <c r="I595" i="15"/>
  <c r="K595" i="15" s="1"/>
  <c r="J594" i="15"/>
  <c r="I594" i="15"/>
  <c r="K594" i="15" s="1"/>
  <c r="J593" i="15"/>
  <c r="I593" i="15"/>
  <c r="K593" i="15" s="1"/>
  <c r="J592" i="15"/>
  <c r="I592" i="15"/>
  <c r="K592" i="15" s="1"/>
  <c r="J591" i="15"/>
  <c r="I591" i="15"/>
  <c r="K591" i="15" s="1"/>
  <c r="J590" i="15"/>
  <c r="I590" i="15"/>
  <c r="K590" i="15" s="1"/>
  <c r="J589" i="15"/>
  <c r="I589" i="15"/>
  <c r="K589" i="15" s="1"/>
  <c r="N588" i="15"/>
  <c r="N587" i="15"/>
  <c r="N586" i="15"/>
  <c r="N585" i="15"/>
  <c r="N584" i="15"/>
  <c r="L584" i="15"/>
  <c r="O584" i="15" s="1"/>
  <c r="N583" i="15"/>
  <c r="L583" i="15"/>
  <c r="O583" i="15" s="1"/>
  <c r="N582" i="15"/>
  <c r="L582" i="15"/>
  <c r="O582" i="15" s="1"/>
  <c r="N581" i="15"/>
  <c r="L581" i="15"/>
  <c r="O581" i="15" s="1"/>
  <c r="N580" i="15"/>
  <c r="L580" i="15"/>
  <c r="O580" i="15" s="1"/>
  <c r="J580" i="15"/>
  <c r="I580" i="15"/>
  <c r="K580" i="15" s="1"/>
  <c r="J579" i="15"/>
  <c r="I579" i="15"/>
  <c r="K579" i="15" s="1"/>
  <c r="J578" i="15"/>
  <c r="I578" i="15"/>
  <c r="K578" i="15" s="1"/>
  <c r="J577" i="15"/>
  <c r="I577" i="15"/>
  <c r="K577" i="15" s="1"/>
  <c r="J576" i="15"/>
  <c r="I576" i="15"/>
  <c r="K576" i="15" s="1"/>
  <c r="J575" i="15"/>
  <c r="I575" i="15"/>
  <c r="K575" i="15" s="1"/>
  <c r="J573" i="15"/>
  <c r="I573" i="15"/>
  <c r="N572" i="15"/>
  <c r="N571" i="15"/>
  <c r="N570" i="15"/>
  <c r="N569" i="15"/>
  <c r="N568" i="15"/>
  <c r="L568" i="15"/>
  <c r="N567" i="15"/>
  <c r="L567" i="15"/>
  <c r="O567" i="15" s="1"/>
  <c r="N566" i="15"/>
  <c r="L566" i="15"/>
  <c r="N565" i="15"/>
  <c r="L565" i="15"/>
  <c r="O565" i="15" s="1"/>
  <c r="N564" i="15"/>
  <c r="L564" i="15"/>
  <c r="J564" i="15"/>
  <c r="I564" i="15"/>
  <c r="J561" i="15"/>
  <c r="I561" i="15"/>
  <c r="K561" i="15" s="1"/>
  <c r="J560" i="15"/>
  <c r="I560" i="15"/>
  <c r="K560" i="15" s="1"/>
  <c r="N559" i="15"/>
  <c r="N558" i="15"/>
  <c r="N557" i="15"/>
  <c r="N556" i="15"/>
  <c r="N555" i="15"/>
  <c r="L555" i="15"/>
  <c r="O555" i="15" s="1"/>
  <c r="N554" i="15"/>
  <c r="L554" i="15"/>
  <c r="N553" i="15"/>
  <c r="L553" i="15"/>
  <c r="O553" i="15" s="1"/>
  <c r="N552" i="15"/>
  <c r="L552" i="15"/>
  <c r="O552" i="15" s="1"/>
  <c r="N551" i="15"/>
  <c r="L551" i="15"/>
  <c r="O551" i="15" s="1"/>
  <c r="J551" i="15"/>
  <c r="I551" i="15"/>
  <c r="K551" i="15" s="1"/>
  <c r="J550" i="15"/>
  <c r="J549" i="15"/>
  <c r="J548" i="15"/>
  <c r="I548" i="15"/>
  <c r="K548" i="15" s="1"/>
  <c r="J547" i="15"/>
  <c r="I547" i="15"/>
  <c r="J546" i="15"/>
  <c r="J545" i="15"/>
  <c r="J544" i="15"/>
  <c r="J543" i="15"/>
  <c r="N541" i="15"/>
  <c r="N540" i="15"/>
  <c r="N539" i="15"/>
  <c r="N538" i="15"/>
  <c r="N537" i="15"/>
  <c r="L537" i="15"/>
  <c r="N536" i="15"/>
  <c r="L536" i="15"/>
  <c r="O536" i="15" s="1"/>
  <c r="N535" i="15"/>
  <c r="L535" i="15"/>
  <c r="N534" i="15"/>
  <c r="L534" i="15"/>
  <c r="N533" i="15"/>
  <c r="L533" i="15"/>
  <c r="J533" i="15"/>
  <c r="I533" i="15"/>
  <c r="J532" i="15"/>
  <c r="I532" i="15"/>
  <c r="J531" i="15"/>
  <c r="I531" i="15"/>
  <c r="J530" i="15"/>
  <c r="I530" i="15"/>
  <c r="J529" i="15"/>
  <c r="I529" i="15"/>
  <c r="J528" i="15"/>
  <c r="I528" i="15"/>
  <c r="J527" i="15"/>
  <c r="I527" i="15"/>
  <c r="J526" i="15"/>
  <c r="I526" i="15"/>
  <c r="J525" i="15"/>
  <c r="I525" i="15"/>
  <c r="J524" i="15"/>
  <c r="I524" i="15"/>
  <c r="J523" i="15"/>
  <c r="I523" i="15"/>
  <c r="J522" i="15"/>
  <c r="I522" i="15"/>
  <c r="J521" i="15"/>
  <c r="I521" i="15"/>
  <c r="J520" i="15"/>
  <c r="I520" i="15"/>
  <c r="J519" i="15"/>
  <c r="I519" i="15"/>
  <c r="J518" i="15"/>
  <c r="I518" i="15"/>
  <c r="J517" i="15"/>
  <c r="I517" i="15"/>
  <c r="J516" i="15"/>
  <c r="I516" i="15"/>
  <c r="J515" i="15"/>
  <c r="I515" i="15"/>
  <c r="K515" i="15" s="1"/>
  <c r="J514" i="15"/>
  <c r="I514" i="15"/>
  <c r="K514" i="15" s="1"/>
  <c r="J513" i="15"/>
  <c r="I513" i="15"/>
  <c r="K513" i="15" s="1"/>
  <c r="J512" i="15"/>
  <c r="I512" i="15"/>
  <c r="K512" i="15" s="1"/>
  <c r="J511" i="15"/>
  <c r="I511" i="15"/>
  <c r="K511" i="15" s="1"/>
  <c r="J510" i="15"/>
  <c r="I510" i="15"/>
  <c r="K510" i="15" s="1"/>
  <c r="J509" i="15"/>
  <c r="I509" i="15"/>
  <c r="K509" i="15" s="1"/>
  <c r="J508" i="15"/>
  <c r="I508" i="15"/>
  <c r="K508" i="15" s="1"/>
  <c r="J507" i="15"/>
  <c r="I507" i="15"/>
  <c r="K507" i="15" s="1"/>
  <c r="J506" i="15"/>
  <c r="I506" i="15"/>
  <c r="K506" i="15" s="1"/>
  <c r="J505" i="15"/>
  <c r="I505" i="15"/>
  <c r="K505" i="15" s="1"/>
  <c r="J504" i="15"/>
  <c r="I504" i="15"/>
  <c r="K504" i="15" s="1"/>
  <c r="J503" i="15"/>
  <c r="I503" i="15"/>
  <c r="K503" i="15" s="1"/>
  <c r="J502" i="15"/>
  <c r="I502" i="15"/>
  <c r="K502" i="15" s="1"/>
  <c r="J501" i="15"/>
  <c r="I501" i="15"/>
  <c r="K501" i="15" s="1"/>
  <c r="J500" i="15"/>
  <c r="I500" i="15"/>
  <c r="K500" i="15" s="1"/>
  <c r="J499" i="15"/>
  <c r="I499" i="15"/>
  <c r="J498" i="15"/>
  <c r="I498" i="15"/>
  <c r="J497" i="15"/>
  <c r="I497" i="15"/>
  <c r="J496" i="15"/>
  <c r="I496" i="15"/>
  <c r="K496" i="15" s="1"/>
  <c r="J495" i="15"/>
  <c r="I495" i="15"/>
  <c r="K495" i="15" s="1"/>
  <c r="J494" i="15"/>
  <c r="I494" i="15"/>
  <c r="K494" i="15" s="1"/>
  <c r="J493" i="15"/>
  <c r="I493" i="15"/>
  <c r="K493" i="15" s="1"/>
  <c r="J492" i="15"/>
  <c r="I492" i="15"/>
  <c r="K492" i="15" s="1"/>
  <c r="J491" i="15"/>
  <c r="I491" i="15"/>
  <c r="K491" i="15" s="1"/>
  <c r="J490" i="15"/>
  <c r="I490" i="15"/>
  <c r="K490" i="15" s="1"/>
  <c r="J489" i="15"/>
  <c r="I489" i="15"/>
  <c r="K489" i="15" s="1"/>
  <c r="J488" i="15"/>
  <c r="I488" i="15"/>
  <c r="K488" i="15" s="1"/>
  <c r="J487" i="15"/>
  <c r="I487" i="15"/>
  <c r="K487" i="15" s="1"/>
  <c r="J486" i="15"/>
  <c r="I486" i="15"/>
  <c r="K486" i="15" s="1"/>
  <c r="J485" i="15"/>
  <c r="I485" i="15"/>
  <c r="K485" i="15" s="1"/>
  <c r="J484" i="15"/>
  <c r="I484" i="15"/>
  <c r="K484" i="15" s="1"/>
  <c r="J483" i="15"/>
  <c r="I483" i="15"/>
  <c r="K483" i="15" s="1"/>
  <c r="J482" i="15"/>
  <c r="I482" i="15"/>
  <c r="J481" i="15"/>
  <c r="I481" i="15"/>
  <c r="J480" i="15"/>
  <c r="I480" i="15"/>
  <c r="K480" i="15" s="1"/>
  <c r="J479" i="15"/>
  <c r="I479" i="15"/>
  <c r="K479" i="15" s="1"/>
  <c r="J478" i="15"/>
  <c r="I478" i="15"/>
  <c r="K478" i="15" s="1"/>
  <c r="J477" i="15"/>
  <c r="I477" i="15"/>
  <c r="K477" i="15" s="1"/>
  <c r="J476" i="15"/>
  <c r="I476" i="15"/>
  <c r="K476" i="15" s="1"/>
  <c r="J475" i="15"/>
  <c r="I475" i="15"/>
  <c r="K475" i="15" s="1"/>
  <c r="J474" i="15"/>
  <c r="I474" i="15"/>
  <c r="J473" i="15"/>
  <c r="I473" i="15"/>
  <c r="J472" i="15"/>
  <c r="I472" i="15"/>
  <c r="K472" i="15" s="1"/>
  <c r="J471" i="15"/>
  <c r="I471" i="15"/>
  <c r="K471" i="15" s="1"/>
  <c r="J470" i="15"/>
  <c r="I470" i="15"/>
  <c r="K470" i="15" s="1"/>
  <c r="J469" i="15"/>
  <c r="I469" i="15"/>
  <c r="K469" i="15" s="1"/>
  <c r="J468" i="15"/>
  <c r="I468" i="15"/>
  <c r="K468" i="15" s="1"/>
  <c r="J467" i="15"/>
  <c r="I467" i="15"/>
  <c r="K467" i="15" s="1"/>
  <c r="J466" i="15"/>
  <c r="I466" i="15"/>
  <c r="J465" i="15"/>
  <c r="I465" i="15"/>
  <c r="J464" i="15"/>
  <c r="I464" i="15"/>
  <c r="N463" i="15"/>
  <c r="N462" i="15"/>
  <c r="N461" i="15"/>
  <c r="N460" i="15"/>
  <c r="N459" i="15"/>
  <c r="L459" i="15"/>
  <c r="N458" i="15"/>
  <c r="L458" i="15"/>
  <c r="O458" i="15" s="1"/>
  <c r="N457" i="15"/>
  <c r="L457" i="15"/>
  <c r="N456" i="15"/>
  <c r="L456" i="15"/>
  <c r="O456" i="15" s="1"/>
  <c r="N455" i="15"/>
  <c r="L455" i="15"/>
  <c r="J455" i="15"/>
  <c r="I455" i="15"/>
  <c r="J454" i="15"/>
  <c r="J453" i="15"/>
  <c r="J452" i="15"/>
  <c r="I452" i="15"/>
  <c r="K452" i="15" s="1"/>
  <c r="J451" i="15"/>
  <c r="I451" i="15"/>
  <c r="K451" i="15" s="1"/>
  <c r="J450" i="15"/>
  <c r="I450" i="15"/>
  <c r="J449" i="15"/>
  <c r="I449" i="15"/>
  <c r="J448" i="15"/>
  <c r="J447" i="15"/>
  <c r="J446" i="15"/>
  <c r="J445" i="15"/>
  <c r="N443" i="15"/>
  <c r="N442" i="15"/>
  <c r="N441" i="15"/>
  <c r="N440" i="15"/>
  <c r="N439" i="15"/>
  <c r="L439" i="15"/>
  <c r="N438" i="15"/>
  <c r="L438" i="15"/>
  <c r="O438" i="15" s="1"/>
  <c r="N437" i="15"/>
  <c r="L437" i="15"/>
  <c r="N436" i="15"/>
  <c r="L436" i="15"/>
  <c r="O436" i="15" s="1"/>
  <c r="N435" i="15"/>
  <c r="L435" i="15"/>
  <c r="J435" i="15"/>
  <c r="I435" i="15"/>
  <c r="J434" i="15"/>
  <c r="J433" i="15"/>
  <c r="J432" i="15"/>
  <c r="I432" i="15"/>
  <c r="K432" i="15" s="1"/>
  <c r="J431" i="15"/>
  <c r="I431" i="15"/>
  <c r="J430" i="15"/>
  <c r="I430" i="15"/>
  <c r="J429" i="15"/>
  <c r="I429" i="15"/>
  <c r="J428" i="15"/>
  <c r="I428" i="15"/>
  <c r="J427" i="15"/>
  <c r="I427" i="15"/>
  <c r="J426" i="15"/>
  <c r="I426" i="15"/>
  <c r="J425" i="15"/>
  <c r="I425" i="15"/>
  <c r="K425" i="15" s="1"/>
  <c r="J424" i="15"/>
  <c r="I424" i="15"/>
  <c r="K424" i="15" s="1"/>
  <c r="J423" i="15"/>
  <c r="I423" i="15"/>
  <c r="K423" i="15" s="1"/>
  <c r="J422" i="15"/>
  <c r="I422" i="15"/>
  <c r="K422" i="15" s="1"/>
  <c r="J421" i="15"/>
  <c r="I421" i="15"/>
  <c r="K421" i="15" s="1"/>
  <c r="J420" i="15"/>
  <c r="I420" i="15"/>
  <c r="J419" i="15"/>
  <c r="I419" i="15"/>
  <c r="J418" i="15"/>
  <c r="I418" i="15"/>
  <c r="J417" i="15"/>
  <c r="I417" i="15"/>
  <c r="J416" i="15"/>
  <c r="I416" i="15"/>
  <c r="J415" i="15"/>
  <c r="J414" i="15"/>
  <c r="J413" i="15"/>
  <c r="J412" i="15"/>
  <c r="N410" i="15"/>
  <c r="N409" i="15"/>
  <c r="N408" i="15"/>
  <c r="N407" i="15"/>
  <c r="N406" i="15"/>
  <c r="L406" i="15"/>
  <c r="N405" i="15"/>
  <c r="L405" i="15"/>
  <c r="O405" i="15" s="1"/>
  <c r="N404" i="15"/>
  <c r="L404" i="15"/>
  <c r="N403" i="15"/>
  <c r="L403" i="15"/>
  <c r="O403" i="15" s="1"/>
  <c r="J402" i="15"/>
  <c r="I402" i="15"/>
  <c r="N401" i="15"/>
  <c r="L401" i="15"/>
  <c r="J401" i="15"/>
  <c r="I401" i="15"/>
  <c r="J400" i="15"/>
  <c r="J399" i="15"/>
  <c r="J398" i="15"/>
  <c r="I398" i="15"/>
  <c r="J397" i="15"/>
  <c r="I397" i="15"/>
  <c r="J396" i="15"/>
  <c r="I396" i="15"/>
  <c r="J394" i="15"/>
  <c r="J393" i="15"/>
  <c r="J392" i="15"/>
  <c r="J391" i="15"/>
  <c r="N389" i="15"/>
  <c r="N388" i="15"/>
  <c r="N387" i="15"/>
  <c r="N386" i="15"/>
  <c r="N385" i="15"/>
  <c r="L385" i="15"/>
  <c r="N384" i="15"/>
  <c r="L384" i="15"/>
  <c r="O384" i="15" s="1"/>
  <c r="N383" i="15"/>
  <c r="L383" i="15"/>
  <c r="N382" i="15"/>
  <c r="L382" i="15"/>
  <c r="O382" i="15" s="1"/>
  <c r="J381" i="15"/>
  <c r="I381" i="15"/>
  <c r="N380" i="15"/>
  <c r="L380" i="15"/>
  <c r="J380" i="15"/>
  <c r="I380" i="15"/>
  <c r="J379" i="15"/>
  <c r="J378" i="15"/>
  <c r="J377" i="15"/>
  <c r="I377" i="15"/>
  <c r="J376" i="15"/>
  <c r="I376" i="15"/>
  <c r="J375" i="15"/>
  <c r="I375" i="15"/>
  <c r="J374" i="15"/>
  <c r="I374" i="15"/>
  <c r="J373" i="15"/>
  <c r="I373" i="15"/>
  <c r="K373" i="15" s="1"/>
  <c r="J372" i="15"/>
  <c r="I372" i="15"/>
  <c r="J371" i="15"/>
  <c r="I371" i="15"/>
  <c r="K371" i="15" s="1"/>
  <c r="J370" i="15"/>
  <c r="I370" i="15"/>
  <c r="J369" i="15"/>
  <c r="I369" i="15"/>
  <c r="J368" i="15"/>
  <c r="I368" i="15"/>
  <c r="J367" i="15"/>
  <c r="J366" i="15"/>
  <c r="J365" i="15"/>
  <c r="I365" i="15"/>
  <c r="K365" i="15" s="1"/>
  <c r="J364" i="15"/>
  <c r="J363" i="15"/>
  <c r="J362" i="15"/>
  <c r="J361" i="15"/>
  <c r="J360" i="15"/>
  <c r="N358" i="15"/>
  <c r="N357" i="15"/>
  <c r="N356" i="15"/>
  <c r="N355" i="15"/>
  <c r="N354" i="15"/>
  <c r="L354" i="15"/>
  <c r="N353" i="15"/>
  <c r="L353" i="15"/>
  <c r="O353" i="15" s="1"/>
  <c r="N352" i="15"/>
  <c r="L352" i="15"/>
  <c r="N351" i="15"/>
  <c r="L351" i="15"/>
  <c r="O351" i="15" s="1"/>
  <c r="J350" i="15"/>
  <c r="I350" i="15"/>
  <c r="N349" i="15"/>
  <c r="L349" i="15"/>
  <c r="J349" i="15"/>
  <c r="I349" i="15"/>
  <c r="N347" i="15"/>
  <c r="L347" i="15"/>
  <c r="J346" i="15"/>
  <c r="I346" i="15"/>
  <c r="K346" i="15" s="1"/>
  <c r="J345" i="15"/>
  <c r="I345" i="15"/>
  <c r="J344" i="15"/>
  <c r="I344" i="15"/>
  <c r="K344" i="15" s="1"/>
  <c r="J343" i="15"/>
  <c r="I343" i="15"/>
  <c r="J342" i="15"/>
  <c r="I342" i="15"/>
  <c r="K342" i="15" s="1"/>
  <c r="J341" i="15"/>
  <c r="I341" i="15"/>
  <c r="J340" i="15"/>
  <c r="I340" i="15"/>
  <c r="J339" i="15"/>
  <c r="I339" i="15"/>
  <c r="K339" i="15" s="1"/>
  <c r="N337" i="15"/>
  <c r="L337" i="15"/>
  <c r="L335" i="15"/>
  <c r="L334" i="15"/>
  <c r="N333" i="15"/>
  <c r="M333" i="15"/>
  <c r="O332" i="15"/>
  <c r="P330" i="15"/>
  <c r="N330" i="15"/>
  <c r="M330" i="15"/>
  <c r="L330" i="15"/>
  <c r="O330" i="15" s="1"/>
  <c r="J328" i="15"/>
  <c r="I328" i="15"/>
  <c r="J326" i="15"/>
  <c r="J325" i="15"/>
  <c r="J324" i="15"/>
  <c r="I324" i="15"/>
  <c r="J323" i="15"/>
  <c r="J322" i="15"/>
  <c r="J321" i="15"/>
  <c r="J320" i="15"/>
  <c r="N318" i="15"/>
  <c r="L318" i="15"/>
  <c r="O318" i="15" s="1"/>
  <c r="L316" i="15"/>
  <c r="L315" i="15"/>
  <c r="N314" i="15"/>
  <c r="M314" i="15"/>
  <c r="M312" i="15" s="1"/>
  <c r="O313" i="15"/>
  <c r="N311" i="15"/>
  <c r="M311" i="15"/>
  <c r="P311" i="15" s="1"/>
  <c r="L311" i="15"/>
  <c r="J309" i="15"/>
  <c r="I309" i="15"/>
  <c r="J308" i="15"/>
  <c r="J307" i="15"/>
  <c r="J306" i="15"/>
  <c r="I306" i="15"/>
  <c r="J304" i="15"/>
  <c r="I304" i="15"/>
  <c r="J303" i="15"/>
  <c r="J302" i="15"/>
  <c r="J301" i="15"/>
  <c r="J300" i="15"/>
  <c r="N298" i="15"/>
  <c r="L298" i="15"/>
  <c r="L296" i="15"/>
  <c r="L295" i="15"/>
  <c r="N294" i="15"/>
  <c r="M294" i="15"/>
  <c r="O293" i="15"/>
  <c r="O291" i="15"/>
  <c r="N291" i="15"/>
  <c r="M291" i="15"/>
  <c r="P291" i="15" s="1"/>
  <c r="L291" i="15"/>
  <c r="J289" i="15"/>
  <c r="I289" i="15"/>
  <c r="J287" i="15"/>
  <c r="J286" i="15"/>
  <c r="J285" i="15"/>
  <c r="I285" i="15"/>
  <c r="J284" i="15"/>
  <c r="J283" i="15"/>
  <c r="J282" i="15"/>
  <c r="J281" i="15"/>
  <c r="N279" i="15"/>
  <c r="L279" i="15"/>
  <c r="O279" i="15" s="1"/>
  <c r="L277" i="15"/>
  <c r="L276" i="15"/>
  <c r="N275" i="15"/>
  <c r="M275" i="15"/>
  <c r="O274" i="15"/>
  <c r="O272" i="15"/>
  <c r="N272" i="15"/>
  <c r="M272" i="15"/>
  <c r="L272" i="15"/>
  <c r="J270" i="15"/>
  <c r="I270" i="15"/>
  <c r="J269" i="15"/>
  <c r="J268" i="15"/>
  <c r="J267" i="15"/>
  <c r="I267" i="15"/>
  <c r="J266" i="15"/>
  <c r="I266" i="15"/>
  <c r="J265" i="15"/>
  <c r="I265" i="15"/>
  <c r="J264" i="15"/>
  <c r="I264" i="15"/>
  <c r="J263" i="15"/>
  <c r="J262" i="15"/>
  <c r="J261" i="15"/>
  <c r="J260" i="15"/>
  <c r="N258" i="15"/>
  <c r="L258" i="15"/>
  <c r="O258" i="15" s="1"/>
  <c r="L256" i="15"/>
  <c r="L255" i="15"/>
  <c r="N254" i="15"/>
  <c r="M254" i="15"/>
  <c r="M252" i="15" s="1"/>
  <c r="O253" i="15"/>
  <c r="N251" i="15"/>
  <c r="M251" i="15"/>
  <c r="P251" i="15" s="1"/>
  <c r="L251" i="15"/>
  <c r="J249" i="15"/>
  <c r="I249" i="15"/>
  <c r="J246" i="15"/>
  <c r="J245" i="15"/>
  <c r="J244" i="15"/>
  <c r="I244" i="15"/>
  <c r="K244" i="15" s="1"/>
  <c r="J243" i="15"/>
  <c r="J242" i="15"/>
  <c r="J241" i="15"/>
  <c r="J240" i="15"/>
  <c r="J238" i="15"/>
  <c r="I238" i="15"/>
  <c r="K238" i="15" s="1"/>
  <c r="J237" i="15"/>
  <c r="J236" i="15"/>
  <c r="J235" i="15"/>
  <c r="I235" i="15"/>
  <c r="J234" i="15"/>
  <c r="J233" i="15"/>
  <c r="J232" i="15"/>
  <c r="J231" i="15"/>
  <c r="J229" i="15"/>
  <c r="I229" i="15"/>
  <c r="N228" i="15"/>
  <c r="L228" i="15"/>
  <c r="O228" i="15" s="1"/>
  <c r="L226" i="15"/>
  <c r="L225" i="15"/>
  <c r="N224" i="15"/>
  <c r="M224" i="15"/>
  <c r="M222" i="15" s="1"/>
  <c r="O223" i="15"/>
  <c r="P221" i="15"/>
  <c r="O221" i="15"/>
  <c r="N221" i="15"/>
  <c r="M221" i="15"/>
  <c r="L221" i="15"/>
  <c r="J219" i="15"/>
  <c r="I219" i="15"/>
  <c r="J218" i="15"/>
  <c r="J217" i="15"/>
  <c r="J216" i="15"/>
  <c r="I216" i="15"/>
  <c r="K216" i="15" s="1"/>
  <c r="J215" i="15"/>
  <c r="I215" i="15"/>
  <c r="K215" i="15" s="1"/>
  <c r="J213" i="15"/>
  <c r="I213" i="15"/>
  <c r="K213" i="15" s="1"/>
  <c r="J212" i="15"/>
  <c r="J211" i="15"/>
  <c r="J210" i="15"/>
  <c r="J209" i="15"/>
  <c r="J204" i="15"/>
  <c r="I204" i="15"/>
  <c r="K204" i="15" s="1"/>
  <c r="J203" i="15"/>
  <c r="J202" i="15"/>
  <c r="J201" i="15"/>
  <c r="I201" i="15"/>
  <c r="K201" i="15" s="1"/>
  <c r="J200" i="15"/>
  <c r="I200" i="15"/>
  <c r="J199" i="15"/>
  <c r="I199" i="15"/>
  <c r="J197" i="15"/>
  <c r="J196" i="15"/>
  <c r="J195" i="15"/>
  <c r="J194" i="15"/>
  <c r="J189" i="15"/>
  <c r="I189" i="15"/>
  <c r="J188" i="15"/>
  <c r="J187" i="15"/>
  <c r="J186" i="15"/>
  <c r="I186" i="15"/>
  <c r="K186" i="15" s="1"/>
  <c r="J185" i="15"/>
  <c r="I185" i="15"/>
  <c r="K185" i="15" s="1"/>
  <c r="J184" i="15"/>
  <c r="J183" i="15"/>
  <c r="J182" i="15"/>
  <c r="J181" i="15"/>
  <c r="J176" i="15"/>
  <c r="I176" i="15"/>
  <c r="K176" i="15" s="1"/>
  <c r="J175" i="15"/>
  <c r="J174" i="15"/>
  <c r="J173" i="15"/>
  <c r="I173" i="15"/>
  <c r="J172" i="15"/>
  <c r="J171" i="15"/>
  <c r="J170" i="15"/>
  <c r="J169" i="15"/>
  <c r="J164" i="15"/>
  <c r="I164" i="15"/>
  <c r="J163" i="15"/>
  <c r="J162" i="15"/>
  <c r="J161" i="15"/>
  <c r="J160" i="15"/>
  <c r="J159" i="15"/>
  <c r="J158" i="15"/>
  <c r="I158" i="15"/>
  <c r="J157" i="15"/>
  <c r="J156" i="15"/>
  <c r="J155" i="15"/>
  <c r="J154" i="15"/>
  <c r="J149" i="15"/>
  <c r="I149" i="15"/>
  <c r="N148" i="15"/>
  <c r="L148" i="15"/>
  <c r="O148" i="15" s="1"/>
  <c r="L146" i="15"/>
  <c r="L145" i="15"/>
  <c r="N144" i="15"/>
  <c r="M144" i="15"/>
  <c r="O143" i="15"/>
  <c r="N141" i="15"/>
  <c r="M141" i="15"/>
  <c r="P141" i="15" s="1"/>
  <c r="L141" i="15"/>
  <c r="J138" i="15"/>
  <c r="I138" i="15"/>
  <c r="K138" i="15" s="1"/>
  <c r="J135" i="15"/>
  <c r="J134" i="15"/>
  <c r="J133" i="15"/>
  <c r="I133" i="15"/>
  <c r="J132" i="15"/>
  <c r="I132" i="15"/>
  <c r="J131" i="15"/>
  <c r="J130" i="15"/>
  <c r="J129" i="15"/>
  <c r="J128" i="15"/>
  <c r="N126" i="15"/>
  <c r="L126" i="15"/>
  <c r="O126" i="15" s="1"/>
  <c r="L124" i="15"/>
  <c r="L123" i="15"/>
  <c r="N122" i="15"/>
  <c r="M122" i="15"/>
  <c r="M120" i="15" s="1"/>
  <c r="O121" i="15"/>
  <c r="O119" i="15"/>
  <c r="N119" i="15"/>
  <c r="M119" i="15"/>
  <c r="L119" i="15"/>
  <c r="J117" i="15"/>
  <c r="I117" i="15"/>
  <c r="J115" i="15"/>
  <c r="J114" i="15"/>
  <c r="J113" i="15"/>
  <c r="I113" i="15"/>
  <c r="K113" i="15" s="1"/>
  <c r="J112" i="15"/>
  <c r="I112" i="15"/>
  <c r="K112" i="15" s="1"/>
  <c r="J111" i="15"/>
  <c r="I111" i="15"/>
  <c r="K111" i="15" s="1"/>
  <c r="J110" i="15"/>
  <c r="I110" i="15"/>
  <c r="K110" i="15" s="1"/>
  <c r="J109" i="15"/>
  <c r="I109" i="15"/>
  <c r="K109" i="15" s="1"/>
  <c r="J108" i="15"/>
  <c r="I108" i="15"/>
  <c r="K108" i="15" s="1"/>
  <c r="J107" i="15"/>
  <c r="J106" i="15"/>
  <c r="J105" i="15"/>
  <c r="J104" i="15"/>
  <c r="N102" i="15"/>
  <c r="L102" i="15"/>
  <c r="O102" i="15" s="1"/>
  <c r="L100" i="15"/>
  <c r="L99" i="15"/>
  <c r="N98" i="15"/>
  <c r="M98" i="15"/>
  <c r="O97" i="15"/>
  <c r="P95" i="15"/>
  <c r="N95" i="15"/>
  <c r="M95" i="15"/>
  <c r="L95" i="15"/>
  <c r="O95" i="15" s="1"/>
  <c r="J93" i="15"/>
  <c r="I93" i="15"/>
  <c r="K93" i="15" s="1"/>
  <c r="J92" i="15"/>
  <c r="I92" i="15"/>
  <c r="K92" i="15" s="1"/>
  <c r="J90" i="15"/>
  <c r="J89" i="15"/>
  <c r="J88" i="15"/>
  <c r="I88" i="15"/>
  <c r="K88" i="15" s="1"/>
  <c r="J87" i="15"/>
  <c r="I87" i="15"/>
  <c r="K87" i="15" s="1"/>
  <c r="J86" i="15"/>
  <c r="I86" i="15"/>
  <c r="K86" i="15" s="1"/>
  <c r="J85" i="15"/>
  <c r="I85" i="15"/>
  <c r="K85" i="15" s="1"/>
  <c r="J84" i="15"/>
  <c r="I84" i="15"/>
  <c r="K84" i="15" s="1"/>
  <c r="J83" i="15"/>
  <c r="I83" i="15"/>
  <c r="K83" i="15" s="1"/>
  <c r="J82" i="15"/>
  <c r="I82" i="15"/>
  <c r="K82" i="15" s="1"/>
  <c r="J81" i="15"/>
  <c r="I81" i="15"/>
  <c r="K81" i="15" s="1"/>
  <c r="J80" i="15"/>
  <c r="I80" i="15"/>
  <c r="K80" i="15" s="1"/>
  <c r="J79" i="15"/>
  <c r="J78" i="15"/>
  <c r="J77" i="15"/>
  <c r="J76" i="15"/>
  <c r="N74" i="15"/>
  <c r="L74" i="15"/>
  <c r="O74" i="15" s="1"/>
  <c r="L72" i="15"/>
  <c r="L71" i="15"/>
  <c r="N70" i="15"/>
  <c r="M70" i="15"/>
  <c r="O69" i="15"/>
  <c r="N67" i="15"/>
  <c r="M67" i="15"/>
  <c r="P67" i="15" s="1"/>
  <c r="L67" i="15"/>
  <c r="O67" i="15" s="1"/>
  <c r="J65" i="15"/>
  <c r="I65" i="15"/>
  <c r="K65" i="15" s="1"/>
  <c r="J64" i="15"/>
  <c r="I64" i="15"/>
  <c r="K64" i="15" s="1"/>
  <c r="N61" i="15"/>
  <c r="L61" i="15"/>
  <c r="O61" i="15" s="1"/>
  <c r="L59" i="15"/>
  <c r="L58" i="15"/>
  <c r="N57" i="15"/>
  <c r="M57" i="15"/>
  <c r="M55" i="15" s="1"/>
  <c r="P54" i="15"/>
  <c r="N54" i="15"/>
  <c r="M54" i="15"/>
  <c r="L54" i="15"/>
  <c r="O54" i="15" s="1"/>
  <c r="N49" i="15"/>
  <c r="L49" i="15"/>
  <c r="O49" i="15" s="1"/>
  <c r="L47" i="15"/>
  <c r="L46" i="15"/>
  <c r="N45" i="15"/>
  <c r="M45" i="15"/>
  <c r="M43" i="15" s="1"/>
  <c r="N42" i="15"/>
  <c r="M42" i="15"/>
  <c r="P42" i="15" s="1"/>
  <c r="L42" i="15"/>
  <c r="O42" i="15" s="1"/>
  <c r="P36" i="15"/>
  <c r="O36" i="15"/>
  <c r="P35" i="15"/>
  <c r="O35" i="15"/>
  <c r="P34" i="15"/>
  <c r="M34" i="15"/>
  <c r="M33" i="15"/>
  <c r="P33" i="15" s="1"/>
  <c r="P32" i="15"/>
  <c r="M32" i="15"/>
  <c r="M31" i="15"/>
  <c r="P30" i="15"/>
  <c r="M30" i="15"/>
  <c r="P25" i="15"/>
  <c r="N25" i="15"/>
  <c r="M25" i="15"/>
  <c r="L25" i="15"/>
  <c r="O25" i="15" s="1"/>
  <c r="N24" i="15"/>
  <c r="M24" i="15"/>
  <c r="P24" i="15" s="1"/>
  <c r="P23" i="15"/>
  <c r="N23" i="15"/>
  <c r="M23" i="15"/>
  <c r="P21" i="15"/>
  <c r="N21" i="15"/>
  <c r="M21" i="15"/>
  <c r="M19" i="15" s="1"/>
  <c r="L21" i="15"/>
  <c r="O21" i="15" s="1"/>
  <c r="L19" i="15"/>
  <c r="M15" i="15"/>
  <c r="P15" i="15" s="1"/>
  <c r="M13" i="15"/>
  <c r="P13" i="15" s="1"/>
  <c r="J635" i="14"/>
  <c r="I635" i="14"/>
  <c r="J634" i="14"/>
  <c r="I634" i="14"/>
  <c r="J633" i="14"/>
  <c r="I633" i="14"/>
  <c r="K633" i="14" s="1"/>
  <c r="J632" i="14"/>
  <c r="I632" i="14"/>
  <c r="K632" i="14" s="1"/>
  <c r="J631" i="14"/>
  <c r="I631" i="14"/>
  <c r="J630" i="14"/>
  <c r="I630" i="14"/>
  <c r="J629" i="14"/>
  <c r="I629" i="14"/>
  <c r="J628" i="14"/>
  <c r="I628" i="14"/>
  <c r="J626" i="14"/>
  <c r="I626" i="14"/>
  <c r="J625" i="14"/>
  <c r="I625" i="14"/>
  <c r="J624" i="14"/>
  <c r="I624" i="14"/>
  <c r="J623" i="14"/>
  <c r="I623" i="14"/>
  <c r="J622" i="14"/>
  <c r="I622" i="14"/>
  <c r="J621" i="14"/>
  <c r="I621" i="14"/>
  <c r="J620" i="14"/>
  <c r="I620" i="14"/>
  <c r="K626" i="14" s="1"/>
  <c r="J619" i="14"/>
  <c r="I619" i="14"/>
  <c r="J618" i="14"/>
  <c r="I618" i="14"/>
  <c r="J617" i="14"/>
  <c r="I617" i="14"/>
  <c r="J616" i="14"/>
  <c r="I616" i="14"/>
  <c r="J615" i="14"/>
  <c r="I615" i="14"/>
  <c r="J614" i="14"/>
  <c r="I614" i="14"/>
  <c r="J613" i="14"/>
  <c r="I613" i="14"/>
  <c r="J612" i="14"/>
  <c r="I612" i="14"/>
  <c r="J611" i="14"/>
  <c r="I611" i="14"/>
  <c r="J610" i="14"/>
  <c r="J609" i="14"/>
  <c r="J608" i="14"/>
  <c r="J607" i="14"/>
  <c r="N605" i="14"/>
  <c r="N604" i="14"/>
  <c r="N603" i="14"/>
  <c r="N602" i="14"/>
  <c r="N601" i="14"/>
  <c r="L601" i="14"/>
  <c r="N600" i="14"/>
  <c r="L600" i="14"/>
  <c r="O600" i="14" s="1"/>
  <c r="N599" i="14"/>
  <c r="L599" i="14"/>
  <c r="N598" i="14"/>
  <c r="L598" i="14"/>
  <c r="O598" i="14" s="1"/>
  <c r="N597" i="14"/>
  <c r="L597" i="14"/>
  <c r="J597" i="14"/>
  <c r="I597" i="14"/>
  <c r="J596" i="14"/>
  <c r="I596" i="14"/>
  <c r="K596" i="14" s="1"/>
  <c r="J595" i="14"/>
  <c r="I595" i="14"/>
  <c r="K595" i="14" s="1"/>
  <c r="J594" i="14"/>
  <c r="I594" i="14"/>
  <c r="K594" i="14" s="1"/>
  <c r="J593" i="14"/>
  <c r="I593" i="14"/>
  <c r="K593" i="14" s="1"/>
  <c r="J592" i="14"/>
  <c r="I592" i="14"/>
  <c r="K592" i="14" s="1"/>
  <c r="J591" i="14"/>
  <c r="I591" i="14"/>
  <c r="K591" i="14" s="1"/>
  <c r="J590" i="14"/>
  <c r="I590" i="14"/>
  <c r="K590" i="14" s="1"/>
  <c r="J589" i="14"/>
  <c r="I589" i="14"/>
  <c r="K589" i="14" s="1"/>
  <c r="N588" i="14"/>
  <c r="N587" i="14"/>
  <c r="N586" i="14"/>
  <c r="N585" i="14"/>
  <c r="N584" i="14"/>
  <c r="L584" i="14"/>
  <c r="O584" i="14" s="1"/>
  <c r="N583" i="14"/>
  <c r="L583" i="14"/>
  <c r="O583" i="14" s="1"/>
  <c r="N582" i="14"/>
  <c r="L582" i="14"/>
  <c r="O582" i="14" s="1"/>
  <c r="N581" i="14"/>
  <c r="L581" i="14"/>
  <c r="O581" i="14" s="1"/>
  <c r="N580" i="14"/>
  <c r="L580" i="14"/>
  <c r="O580" i="14" s="1"/>
  <c r="J580" i="14"/>
  <c r="I580" i="14"/>
  <c r="K580" i="14" s="1"/>
  <c r="J579" i="14"/>
  <c r="I579" i="14"/>
  <c r="K579" i="14" s="1"/>
  <c r="J578" i="14"/>
  <c r="I578" i="14"/>
  <c r="K578" i="14" s="1"/>
  <c r="J577" i="14"/>
  <c r="I577" i="14"/>
  <c r="K577" i="14" s="1"/>
  <c r="J576" i="14"/>
  <c r="I576" i="14"/>
  <c r="K576" i="14" s="1"/>
  <c r="J575" i="14"/>
  <c r="I575" i="14"/>
  <c r="K575" i="14" s="1"/>
  <c r="J573" i="14"/>
  <c r="I573" i="14"/>
  <c r="N572" i="14"/>
  <c r="N571" i="14"/>
  <c r="N570" i="14"/>
  <c r="N569" i="14"/>
  <c r="N568" i="14"/>
  <c r="L568" i="14"/>
  <c r="N567" i="14"/>
  <c r="L567" i="14"/>
  <c r="O567" i="14" s="1"/>
  <c r="N566" i="14"/>
  <c r="L566" i="14"/>
  <c r="N565" i="14"/>
  <c r="L565" i="14"/>
  <c r="O565" i="14" s="1"/>
  <c r="N564" i="14"/>
  <c r="L564" i="14"/>
  <c r="J564" i="14"/>
  <c r="I564" i="14"/>
  <c r="J561" i="14"/>
  <c r="I561" i="14"/>
  <c r="K561" i="14" s="1"/>
  <c r="J560" i="14"/>
  <c r="I560" i="14"/>
  <c r="K560" i="14" s="1"/>
  <c r="N559" i="14"/>
  <c r="N558" i="14"/>
  <c r="N557" i="14"/>
  <c r="N556" i="14"/>
  <c r="N555" i="14"/>
  <c r="L555" i="14"/>
  <c r="O555" i="14" s="1"/>
  <c r="N554" i="14"/>
  <c r="L554" i="14"/>
  <c r="O554" i="14" s="1"/>
  <c r="N553" i="14"/>
  <c r="L553" i="14"/>
  <c r="O553" i="14" s="1"/>
  <c r="N552" i="14"/>
  <c r="L552" i="14"/>
  <c r="O552" i="14" s="1"/>
  <c r="N551" i="14"/>
  <c r="L551" i="14"/>
  <c r="O551" i="14" s="1"/>
  <c r="J551" i="14"/>
  <c r="I551" i="14"/>
  <c r="K551" i="14" s="1"/>
  <c r="J550" i="14"/>
  <c r="J549" i="14"/>
  <c r="J548" i="14"/>
  <c r="I548" i="14"/>
  <c r="K548" i="14" s="1"/>
  <c r="J547" i="14"/>
  <c r="I547" i="14"/>
  <c r="J546" i="14"/>
  <c r="J545" i="14"/>
  <c r="J544" i="14"/>
  <c r="J543" i="14"/>
  <c r="N541" i="14"/>
  <c r="N540" i="14"/>
  <c r="N539" i="14"/>
  <c r="N538" i="14"/>
  <c r="N537" i="14"/>
  <c r="L537" i="14"/>
  <c r="N536" i="14"/>
  <c r="L536" i="14"/>
  <c r="O536" i="14" s="1"/>
  <c r="N535" i="14"/>
  <c r="L535" i="14"/>
  <c r="N534" i="14"/>
  <c r="L534" i="14"/>
  <c r="O534" i="14" s="1"/>
  <c r="N533" i="14"/>
  <c r="L533" i="14"/>
  <c r="J533" i="14"/>
  <c r="I533" i="14"/>
  <c r="J532" i="14"/>
  <c r="I532" i="14"/>
  <c r="J531" i="14"/>
  <c r="I531" i="14"/>
  <c r="J530" i="14"/>
  <c r="I530" i="14"/>
  <c r="J529" i="14"/>
  <c r="I529" i="14"/>
  <c r="J528" i="14"/>
  <c r="I528" i="14"/>
  <c r="J527" i="14"/>
  <c r="I527" i="14"/>
  <c r="J526" i="14"/>
  <c r="I526" i="14"/>
  <c r="J525" i="14"/>
  <c r="I525" i="14"/>
  <c r="J524" i="14"/>
  <c r="I524" i="14"/>
  <c r="J523" i="14"/>
  <c r="I523" i="14"/>
  <c r="J522" i="14"/>
  <c r="I522" i="14"/>
  <c r="J521" i="14"/>
  <c r="I521" i="14"/>
  <c r="J520" i="14"/>
  <c r="I520" i="14"/>
  <c r="J519" i="14"/>
  <c r="I519" i="14"/>
  <c r="J518" i="14"/>
  <c r="I518" i="14"/>
  <c r="J517" i="14"/>
  <c r="I517" i="14"/>
  <c r="J516" i="14"/>
  <c r="I516" i="14"/>
  <c r="J515" i="14"/>
  <c r="I515" i="14"/>
  <c r="K515" i="14" s="1"/>
  <c r="J514" i="14"/>
  <c r="I514" i="14"/>
  <c r="K514" i="14" s="1"/>
  <c r="J513" i="14"/>
  <c r="I513" i="14"/>
  <c r="K513" i="14" s="1"/>
  <c r="J512" i="14"/>
  <c r="I512" i="14"/>
  <c r="K512" i="14" s="1"/>
  <c r="J511" i="14"/>
  <c r="I511" i="14"/>
  <c r="K511" i="14" s="1"/>
  <c r="J510" i="14"/>
  <c r="I510" i="14"/>
  <c r="K510" i="14" s="1"/>
  <c r="J509" i="14"/>
  <c r="I509" i="14"/>
  <c r="K509" i="14" s="1"/>
  <c r="J508" i="14"/>
  <c r="I508" i="14"/>
  <c r="K508" i="14" s="1"/>
  <c r="J507" i="14"/>
  <c r="I507" i="14"/>
  <c r="K507" i="14" s="1"/>
  <c r="J506" i="14"/>
  <c r="I506" i="14"/>
  <c r="K506" i="14" s="1"/>
  <c r="J505" i="14"/>
  <c r="I505" i="14"/>
  <c r="K505" i="14" s="1"/>
  <c r="J504" i="14"/>
  <c r="I504" i="14"/>
  <c r="K504" i="14" s="1"/>
  <c r="J503" i="14"/>
  <c r="I503" i="14"/>
  <c r="K503" i="14" s="1"/>
  <c r="J502" i="14"/>
  <c r="I502" i="14"/>
  <c r="K502" i="14" s="1"/>
  <c r="J501" i="14"/>
  <c r="I501" i="14"/>
  <c r="K501" i="14" s="1"/>
  <c r="J500" i="14"/>
  <c r="I500" i="14"/>
  <c r="K500" i="14" s="1"/>
  <c r="J499" i="14"/>
  <c r="I499" i="14"/>
  <c r="K499" i="14" s="1"/>
  <c r="J498" i="14"/>
  <c r="I498" i="14"/>
  <c r="K498" i="14" s="1"/>
  <c r="J497" i="14"/>
  <c r="I497" i="14"/>
  <c r="K497" i="14" s="1"/>
  <c r="J496" i="14"/>
  <c r="I496" i="14"/>
  <c r="K496" i="14" s="1"/>
  <c r="J495" i="14"/>
  <c r="I495" i="14"/>
  <c r="K495" i="14" s="1"/>
  <c r="J494" i="14"/>
  <c r="I494" i="14"/>
  <c r="K494" i="14" s="1"/>
  <c r="J493" i="14"/>
  <c r="I493" i="14"/>
  <c r="K493" i="14" s="1"/>
  <c r="J492" i="14"/>
  <c r="I492" i="14"/>
  <c r="K492" i="14" s="1"/>
  <c r="J491" i="14"/>
  <c r="I491" i="14"/>
  <c r="K491" i="14" s="1"/>
  <c r="J490" i="14"/>
  <c r="I490" i="14"/>
  <c r="K490" i="14" s="1"/>
  <c r="J489" i="14"/>
  <c r="I489" i="14"/>
  <c r="K489" i="14" s="1"/>
  <c r="J488" i="14"/>
  <c r="I488" i="14"/>
  <c r="K488" i="14" s="1"/>
  <c r="J487" i="14"/>
  <c r="I487" i="14"/>
  <c r="K487" i="14" s="1"/>
  <c r="J486" i="14"/>
  <c r="I486" i="14"/>
  <c r="K486" i="14" s="1"/>
  <c r="J485" i="14"/>
  <c r="I485" i="14"/>
  <c r="K485" i="14" s="1"/>
  <c r="J484" i="14"/>
  <c r="I484" i="14"/>
  <c r="K484" i="14" s="1"/>
  <c r="J483" i="14"/>
  <c r="I483" i="14"/>
  <c r="K483" i="14" s="1"/>
  <c r="J482" i="14"/>
  <c r="I482" i="14"/>
  <c r="J481" i="14"/>
  <c r="I481" i="14"/>
  <c r="J480" i="14"/>
  <c r="I480" i="14"/>
  <c r="K480" i="14" s="1"/>
  <c r="J479" i="14"/>
  <c r="I479" i="14"/>
  <c r="K479" i="14" s="1"/>
  <c r="J478" i="14"/>
  <c r="I478" i="14"/>
  <c r="K478" i="14" s="1"/>
  <c r="J477" i="14"/>
  <c r="I477" i="14"/>
  <c r="K477" i="14" s="1"/>
  <c r="J476" i="14"/>
  <c r="I476" i="14"/>
  <c r="K476" i="14" s="1"/>
  <c r="J475" i="14"/>
  <c r="I475" i="14"/>
  <c r="K475" i="14" s="1"/>
  <c r="J474" i="14"/>
  <c r="I474" i="14"/>
  <c r="J473" i="14"/>
  <c r="I473" i="14"/>
  <c r="J472" i="14"/>
  <c r="I472" i="14"/>
  <c r="K472" i="14" s="1"/>
  <c r="J471" i="14"/>
  <c r="I471" i="14"/>
  <c r="K471" i="14" s="1"/>
  <c r="J470" i="14"/>
  <c r="I470" i="14"/>
  <c r="K470" i="14" s="1"/>
  <c r="J469" i="14"/>
  <c r="I469" i="14"/>
  <c r="K469" i="14" s="1"/>
  <c r="J468" i="14"/>
  <c r="I468" i="14"/>
  <c r="K468" i="14" s="1"/>
  <c r="J467" i="14"/>
  <c r="I467" i="14"/>
  <c r="K467" i="14" s="1"/>
  <c r="J466" i="14"/>
  <c r="I466" i="14"/>
  <c r="J465" i="14"/>
  <c r="I465" i="14"/>
  <c r="J464" i="14"/>
  <c r="I464" i="14"/>
  <c r="N463" i="14"/>
  <c r="N462" i="14"/>
  <c r="N461" i="14"/>
  <c r="N460" i="14"/>
  <c r="N459" i="14"/>
  <c r="L459" i="14"/>
  <c r="N458" i="14"/>
  <c r="L458" i="14"/>
  <c r="O458" i="14" s="1"/>
  <c r="N457" i="14"/>
  <c r="L457" i="14"/>
  <c r="N456" i="14"/>
  <c r="L456" i="14"/>
  <c r="O456" i="14" s="1"/>
  <c r="N455" i="14"/>
  <c r="L455" i="14"/>
  <c r="J455" i="14"/>
  <c r="I455" i="14"/>
  <c r="J454" i="14"/>
  <c r="J453" i="14"/>
  <c r="J452" i="14"/>
  <c r="I452" i="14"/>
  <c r="K452" i="14" s="1"/>
  <c r="J451" i="14"/>
  <c r="I451" i="14"/>
  <c r="K451" i="14" s="1"/>
  <c r="J450" i="14"/>
  <c r="I450" i="14"/>
  <c r="J449" i="14"/>
  <c r="I449" i="14"/>
  <c r="J448" i="14"/>
  <c r="J447" i="14"/>
  <c r="J446" i="14"/>
  <c r="J445" i="14"/>
  <c r="N443" i="14"/>
  <c r="N442" i="14"/>
  <c r="N441" i="14"/>
  <c r="N440" i="14"/>
  <c r="N439" i="14"/>
  <c r="L439" i="14"/>
  <c r="N438" i="14"/>
  <c r="L438" i="14"/>
  <c r="O438" i="14" s="1"/>
  <c r="N437" i="14"/>
  <c r="L437" i="14"/>
  <c r="N436" i="14"/>
  <c r="L436" i="14"/>
  <c r="N435" i="14"/>
  <c r="L435" i="14"/>
  <c r="J435" i="14"/>
  <c r="I435" i="14"/>
  <c r="J434" i="14"/>
  <c r="J433" i="14"/>
  <c r="J432" i="14"/>
  <c r="I432" i="14"/>
  <c r="K432" i="14" s="1"/>
  <c r="J431" i="14"/>
  <c r="I431" i="14"/>
  <c r="J430" i="14"/>
  <c r="I430" i="14"/>
  <c r="J429" i="14"/>
  <c r="I429" i="14"/>
  <c r="J428" i="14"/>
  <c r="I428" i="14"/>
  <c r="J427" i="14"/>
  <c r="I427" i="14"/>
  <c r="J426" i="14"/>
  <c r="I426" i="14"/>
  <c r="J425" i="14"/>
  <c r="I425" i="14"/>
  <c r="K425" i="14" s="1"/>
  <c r="J424" i="14"/>
  <c r="I424" i="14"/>
  <c r="K424" i="14" s="1"/>
  <c r="J423" i="14"/>
  <c r="I423" i="14"/>
  <c r="K423" i="14" s="1"/>
  <c r="J422" i="14"/>
  <c r="I422" i="14"/>
  <c r="K422" i="14" s="1"/>
  <c r="J421" i="14"/>
  <c r="I421" i="14"/>
  <c r="K421" i="14" s="1"/>
  <c r="J420" i="14"/>
  <c r="I420" i="14"/>
  <c r="J419" i="14"/>
  <c r="I419" i="14"/>
  <c r="J418" i="14"/>
  <c r="I418" i="14"/>
  <c r="J417" i="14"/>
  <c r="I417" i="14"/>
  <c r="J416" i="14"/>
  <c r="I416" i="14"/>
  <c r="J415" i="14"/>
  <c r="J414" i="14"/>
  <c r="J413" i="14"/>
  <c r="J412" i="14"/>
  <c r="N410" i="14"/>
  <c r="N409" i="14"/>
  <c r="N408" i="14"/>
  <c r="N407" i="14"/>
  <c r="N406" i="14"/>
  <c r="L406" i="14"/>
  <c r="N405" i="14"/>
  <c r="L405" i="14"/>
  <c r="O405" i="14" s="1"/>
  <c r="N404" i="14"/>
  <c r="L404" i="14"/>
  <c r="N403" i="14"/>
  <c r="L403" i="14"/>
  <c r="O403" i="14" s="1"/>
  <c r="J402" i="14"/>
  <c r="I402" i="14"/>
  <c r="N401" i="14"/>
  <c r="L401" i="14"/>
  <c r="J401" i="14"/>
  <c r="I401" i="14"/>
  <c r="J400" i="14"/>
  <c r="J399" i="14"/>
  <c r="J398" i="14"/>
  <c r="I398" i="14"/>
  <c r="J397" i="14"/>
  <c r="I397" i="14"/>
  <c r="J396" i="14"/>
  <c r="I396" i="14"/>
  <c r="J394" i="14"/>
  <c r="J393" i="14"/>
  <c r="J392" i="14"/>
  <c r="J391" i="14"/>
  <c r="N389" i="14"/>
  <c r="N388" i="14"/>
  <c r="N387" i="14"/>
  <c r="N386" i="14"/>
  <c r="N385" i="14"/>
  <c r="L385" i="14"/>
  <c r="N384" i="14"/>
  <c r="L384" i="14"/>
  <c r="N383" i="14"/>
  <c r="L383" i="14"/>
  <c r="N382" i="14"/>
  <c r="L382" i="14"/>
  <c r="O382" i="14" s="1"/>
  <c r="J381" i="14"/>
  <c r="I381" i="14"/>
  <c r="N380" i="14"/>
  <c r="L380" i="14"/>
  <c r="J380" i="14"/>
  <c r="I380" i="14"/>
  <c r="J379" i="14"/>
  <c r="J378" i="14"/>
  <c r="J377" i="14"/>
  <c r="I377" i="14"/>
  <c r="K377" i="14" s="1"/>
  <c r="J376" i="14"/>
  <c r="I376" i="14"/>
  <c r="K376" i="14" s="1"/>
  <c r="J375" i="14"/>
  <c r="I375" i="14"/>
  <c r="K375" i="14" s="1"/>
  <c r="J374" i="14"/>
  <c r="I374" i="14"/>
  <c r="J373" i="14"/>
  <c r="I373" i="14"/>
  <c r="K373" i="14" s="1"/>
  <c r="J372" i="14"/>
  <c r="I372" i="14"/>
  <c r="K372" i="14" s="1"/>
  <c r="J371" i="14"/>
  <c r="I371" i="14"/>
  <c r="K371" i="14" s="1"/>
  <c r="J370" i="14"/>
  <c r="I370" i="14"/>
  <c r="K370" i="14" s="1"/>
  <c r="J369" i="14"/>
  <c r="I369" i="14"/>
  <c r="J368" i="14"/>
  <c r="I368" i="14"/>
  <c r="K368" i="14" s="1"/>
  <c r="J367" i="14"/>
  <c r="J366" i="14"/>
  <c r="J365" i="14"/>
  <c r="I365" i="14"/>
  <c r="K365" i="14" s="1"/>
  <c r="J364" i="14"/>
  <c r="J363" i="14"/>
  <c r="J362" i="14"/>
  <c r="J361" i="14"/>
  <c r="J360" i="14"/>
  <c r="N358" i="14"/>
  <c r="N357" i="14"/>
  <c r="N356" i="14"/>
  <c r="N355" i="14"/>
  <c r="N354" i="14"/>
  <c r="L354" i="14"/>
  <c r="O354" i="14" s="1"/>
  <c r="N353" i="14"/>
  <c r="L353" i="14"/>
  <c r="O353" i="14" s="1"/>
  <c r="N352" i="14"/>
  <c r="L352" i="14"/>
  <c r="O352" i="14" s="1"/>
  <c r="N351" i="14"/>
  <c r="L351" i="14"/>
  <c r="O351" i="14" s="1"/>
  <c r="J350" i="14"/>
  <c r="I350" i="14"/>
  <c r="K350" i="14" s="1"/>
  <c r="N349" i="14"/>
  <c r="L349" i="14"/>
  <c r="O349" i="14" s="1"/>
  <c r="J349" i="14"/>
  <c r="I349" i="14"/>
  <c r="K349" i="14" s="1"/>
  <c r="N347" i="14"/>
  <c r="L347" i="14"/>
  <c r="J346" i="14"/>
  <c r="I346" i="14"/>
  <c r="K346" i="14" s="1"/>
  <c r="J345" i="14"/>
  <c r="I345" i="14"/>
  <c r="J344" i="14"/>
  <c r="I344" i="14"/>
  <c r="K344" i="14" s="1"/>
  <c r="J343" i="14"/>
  <c r="I343" i="14"/>
  <c r="J342" i="14"/>
  <c r="I342" i="14"/>
  <c r="K342" i="14" s="1"/>
  <c r="J341" i="14"/>
  <c r="I341" i="14"/>
  <c r="J340" i="14"/>
  <c r="I340" i="14"/>
  <c r="J339" i="14"/>
  <c r="I339" i="14"/>
  <c r="K339" i="14" s="1"/>
  <c r="N337" i="14"/>
  <c r="L337" i="14"/>
  <c r="L335" i="14"/>
  <c r="L334" i="14"/>
  <c r="N333" i="14"/>
  <c r="M333" i="14"/>
  <c r="O332" i="14"/>
  <c r="P330" i="14"/>
  <c r="N330" i="14"/>
  <c r="M330" i="14"/>
  <c r="L330" i="14"/>
  <c r="O330" i="14" s="1"/>
  <c r="J328" i="14"/>
  <c r="I328" i="14"/>
  <c r="J326" i="14"/>
  <c r="J325" i="14"/>
  <c r="J324" i="14"/>
  <c r="I324" i="14"/>
  <c r="K324" i="14" s="1"/>
  <c r="J323" i="14"/>
  <c r="J322" i="14"/>
  <c r="J321" i="14"/>
  <c r="J320" i="14"/>
  <c r="N318" i="14"/>
  <c r="L318" i="14"/>
  <c r="O318" i="14" s="1"/>
  <c r="L316" i="14"/>
  <c r="L315" i="14"/>
  <c r="N314" i="14"/>
  <c r="M314" i="14"/>
  <c r="P314" i="14" s="1"/>
  <c r="O313" i="14"/>
  <c r="N311" i="14"/>
  <c r="M311" i="14"/>
  <c r="P311" i="14" s="1"/>
  <c r="L311" i="14"/>
  <c r="O311" i="14" s="1"/>
  <c r="J309" i="14"/>
  <c r="I309" i="14"/>
  <c r="K309" i="14" s="1"/>
  <c r="J308" i="14"/>
  <c r="J307" i="14"/>
  <c r="J306" i="14"/>
  <c r="I306" i="14"/>
  <c r="K306" i="14" s="1"/>
  <c r="J304" i="14"/>
  <c r="I304" i="14"/>
  <c r="K304" i="14" s="1"/>
  <c r="J303" i="14"/>
  <c r="J302" i="14"/>
  <c r="J301" i="14"/>
  <c r="J300" i="14"/>
  <c r="N298" i="14"/>
  <c r="L298" i="14"/>
  <c r="O298" i="14" s="1"/>
  <c r="L296" i="14"/>
  <c r="L295" i="14"/>
  <c r="N294" i="14"/>
  <c r="M294" i="14"/>
  <c r="O293" i="14"/>
  <c r="O291" i="14"/>
  <c r="N291" i="14"/>
  <c r="M291" i="14"/>
  <c r="P291" i="14" s="1"/>
  <c r="L291" i="14"/>
  <c r="J289" i="14"/>
  <c r="I289" i="14"/>
  <c r="K289" i="14" s="1"/>
  <c r="J287" i="14"/>
  <c r="J286" i="14"/>
  <c r="J285" i="14"/>
  <c r="I285" i="14"/>
  <c r="J284" i="14"/>
  <c r="J283" i="14"/>
  <c r="J282" i="14"/>
  <c r="J281" i="14"/>
  <c r="N279" i="14"/>
  <c r="L279" i="14"/>
  <c r="O279" i="14" s="1"/>
  <c r="L277" i="14"/>
  <c r="L276" i="14"/>
  <c r="N275" i="14"/>
  <c r="M275" i="14"/>
  <c r="O274" i="14"/>
  <c r="N272" i="14"/>
  <c r="M272" i="14"/>
  <c r="P272" i="14" s="1"/>
  <c r="L272" i="14"/>
  <c r="O272" i="14" s="1"/>
  <c r="J270" i="14"/>
  <c r="I270" i="14"/>
  <c r="J269" i="14"/>
  <c r="J268" i="14"/>
  <c r="J267" i="14"/>
  <c r="I267" i="14"/>
  <c r="K267" i="14" s="1"/>
  <c r="J266" i="14"/>
  <c r="I266" i="14"/>
  <c r="K266" i="14" s="1"/>
  <c r="J265" i="14"/>
  <c r="I265" i="14"/>
  <c r="K265" i="14" s="1"/>
  <c r="J264" i="14"/>
  <c r="I264" i="14"/>
  <c r="K264" i="14" s="1"/>
  <c r="J263" i="14"/>
  <c r="J262" i="14"/>
  <c r="J261" i="14"/>
  <c r="J260" i="14"/>
  <c r="N258" i="14"/>
  <c r="L258" i="14"/>
  <c r="O258" i="14" s="1"/>
  <c r="L256" i="14"/>
  <c r="L255" i="14"/>
  <c r="N254" i="14"/>
  <c r="M254" i="14"/>
  <c r="O253" i="14"/>
  <c r="N251" i="14"/>
  <c r="M251" i="14"/>
  <c r="P251" i="14" s="1"/>
  <c r="L251" i="14"/>
  <c r="O251" i="14" s="1"/>
  <c r="J249" i="14"/>
  <c r="I249" i="14"/>
  <c r="K249" i="14" s="1"/>
  <c r="J246" i="14"/>
  <c r="J245" i="14"/>
  <c r="J244" i="14"/>
  <c r="I244" i="14"/>
  <c r="K244" i="14" s="1"/>
  <c r="J243" i="14"/>
  <c r="J242" i="14"/>
  <c r="J241" i="14"/>
  <c r="J240" i="14"/>
  <c r="J238" i="14"/>
  <c r="I238" i="14"/>
  <c r="K238" i="14" s="1"/>
  <c r="J237" i="14"/>
  <c r="J236" i="14"/>
  <c r="J235" i="14"/>
  <c r="I235" i="14"/>
  <c r="J234" i="14"/>
  <c r="J233" i="14"/>
  <c r="J232" i="14"/>
  <c r="J231" i="14"/>
  <c r="J229" i="14"/>
  <c r="I229" i="14"/>
  <c r="N228" i="14"/>
  <c r="L228" i="14"/>
  <c r="O228" i="14" s="1"/>
  <c r="L226" i="14"/>
  <c r="L225" i="14"/>
  <c r="N224" i="14"/>
  <c r="M224" i="14"/>
  <c r="O223" i="14"/>
  <c r="P221" i="14"/>
  <c r="N221" i="14"/>
  <c r="M221" i="14"/>
  <c r="L221" i="14"/>
  <c r="O221" i="14" s="1"/>
  <c r="J219" i="14"/>
  <c r="I219" i="14"/>
  <c r="J218" i="14"/>
  <c r="J217" i="14"/>
  <c r="J216" i="14"/>
  <c r="I216" i="14"/>
  <c r="K216" i="14" s="1"/>
  <c r="J215" i="14"/>
  <c r="I215" i="14"/>
  <c r="K215" i="14" s="1"/>
  <c r="J213" i="14"/>
  <c r="I213" i="14"/>
  <c r="K213" i="14" s="1"/>
  <c r="J212" i="14"/>
  <c r="J211" i="14"/>
  <c r="J210" i="14"/>
  <c r="J209" i="14"/>
  <c r="J204" i="14"/>
  <c r="I204" i="14"/>
  <c r="K204" i="14" s="1"/>
  <c r="J203" i="14"/>
  <c r="J202" i="14"/>
  <c r="J201" i="14"/>
  <c r="I201" i="14"/>
  <c r="K201" i="14" s="1"/>
  <c r="J200" i="14"/>
  <c r="I200" i="14"/>
  <c r="J199" i="14"/>
  <c r="I199" i="14"/>
  <c r="J197" i="14"/>
  <c r="J196" i="14"/>
  <c r="J195" i="14"/>
  <c r="J194" i="14"/>
  <c r="J189" i="14"/>
  <c r="I189" i="14"/>
  <c r="J188" i="14"/>
  <c r="J187" i="14"/>
  <c r="J186" i="14"/>
  <c r="I186" i="14"/>
  <c r="K186" i="14" s="1"/>
  <c r="J185" i="14"/>
  <c r="I185" i="14"/>
  <c r="K185" i="14" s="1"/>
  <c r="J184" i="14"/>
  <c r="J183" i="14"/>
  <c r="J182" i="14"/>
  <c r="J181" i="14"/>
  <c r="J176" i="14"/>
  <c r="I176" i="14"/>
  <c r="K176" i="14" s="1"/>
  <c r="J175" i="14"/>
  <c r="J174" i="14"/>
  <c r="J173" i="14"/>
  <c r="I173" i="14"/>
  <c r="J172" i="14"/>
  <c r="J171" i="14"/>
  <c r="J170" i="14"/>
  <c r="J169" i="14"/>
  <c r="J164" i="14"/>
  <c r="I164" i="14"/>
  <c r="J163" i="14"/>
  <c r="J162" i="14"/>
  <c r="J161" i="14"/>
  <c r="J160" i="14"/>
  <c r="J159" i="14"/>
  <c r="J158" i="14"/>
  <c r="I158" i="14"/>
  <c r="J157" i="14"/>
  <c r="J156" i="14"/>
  <c r="J155" i="14"/>
  <c r="J154" i="14"/>
  <c r="J149" i="14"/>
  <c r="I149" i="14"/>
  <c r="N148" i="14"/>
  <c r="L148" i="14"/>
  <c r="L146" i="14"/>
  <c r="L145" i="14"/>
  <c r="N144" i="14"/>
  <c r="M144" i="14"/>
  <c r="O143" i="14"/>
  <c r="P141" i="14"/>
  <c r="N141" i="14"/>
  <c r="M141" i="14"/>
  <c r="L141" i="14"/>
  <c r="O141" i="14" s="1"/>
  <c r="J138" i="14"/>
  <c r="I138" i="14"/>
  <c r="K138" i="14" s="1"/>
  <c r="J135" i="14"/>
  <c r="J134" i="14"/>
  <c r="J133" i="14"/>
  <c r="I133" i="14"/>
  <c r="J132" i="14"/>
  <c r="I132" i="14"/>
  <c r="J131" i="14"/>
  <c r="J130" i="14"/>
  <c r="J129" i="14"/>
  <c r="J128" i="14"/>
  <c r="N126" i="14"/>
  <c r="L126" i="14"/>
  <c r="O126" i="14" s="1"/>
  <c r="L124" i="14"/>
  <c r="L123" i="14"/>
  <c r="N122" i="14"/>
  <c r="M122" i="14"/>
  <c r="O121" i="14"/>
  <c r="N119" i="14"/>
  <c r="M119" i="14"/>
  <c r="P119" i="14" s="1"/>
  <c r="L119" i="14"/>
  <c r="O119" i="14" s="1"/>
  <c r="J117" i="14"/>
  <c r="I117" i="14"/>
  <c r="J115" i="14"/>
  <c r="J114" i="14"/>
  <c r="J113" i="14"/>
  <c r="I113" i="14"/>
  <c r="K113" i="14" s="1"/>
  <c r="J112" i="14"/>
  <c r="I112" i="14"/>
  <c r="K112" i="14" s="1"/>
  <c r="J111" i="14"/>
  <c r="I111" i="14"/>
  <c r="K111" i="14" s="1"/>
  <c r="J110" i="14"/>
  <c r="I110" i="14"/>
  <c r="K110" i="14" s="1"/>
  <c r="J109" i="14"/>
  <c r="I109" i="14"/>
  <c r="K109" i="14" s="1"/>
  <c r="J108" i="14"/>
  <c r="I108" i="14"/>
  <c r="K108" i="14" s="1"/>
  <c r="J107" i="14"/>
  <c r="J106" i="14"/>
  <c r="J105" i="14"/>
  <c r="J104" i="14"/>
  <c r="N102" i="14"/>
  <c r="L102" i="14"/>
  <c r="O102" i="14" s="1"/>
  <c r="L100" i="14"/>
  <c r="L99" i="14"/>
  <c r="N98" i="14"/>
  <c r="M98" i="14"/>
  <c r="O97" i="14"/>
  <c r="O95" i="14"/>
  <c r="N95" i="14"/>
  <c r="M95" i="14"/>
  <c r="P95" i="14" s="1"/>
  <c r="L95" i="14"/>
  <c r="J93" i="14"/>
  <c r="I93" i="14"/>
  <c r="K93" i="14" s="1"/>
  <c r="J92" i="14"/>
  <c r="I92" i="14"/>
  <c r="K92" i="14" s="1"/>
  <c r="J90" i="14"/>
  <c r="J89" i="14"/>
  <c r="J88" i="14"/>
  <c r="I88" i="14"/>
  <c r="K88" i="14" s="1"/>
  <c r="J87" i="14"/>
  <c r="I87" i="14"/>
  <c r="K87" i="14" s="1"/>
  <c r="J86" i="14"/>
  <c r="I86" i="14"/>
  <c r="K86" i="14" s="1"/>
  <c r="J85" i="14"/>
  <c r="I85" i="14"/>
  <c r="K85" i="14" s="1"/>
  <c r="J84" i="14"/>
  <c r="I84" i="14"/>
  <c r="K84" i="14" s="1"/>
  <c r="J83" i="14"/>
  <c r="I83" i="14"/>
  <c r="K83" i="14" s="1"/>
  <c r="J82" i="14"/>
  <c r="I82" i="14"/>
  <c r="K82" i="14" s="1"/>
  <c r="J81" i="14"/>
  <c r="I81" i="14"/>
  <c r="K81" i="14" s="1"/>
  <c r="J80" i="14"/>
  <c r="I80" i="14"/>
  <c r="K80" i="14" s="1"/>
  <c r="J79" i="14"/>
  <c r="J78" i="14"/>
  <c r="J77" i="14"/>
  <c r="J76" i="14"/>
  <c r="N74" i="14"/>
  <c r="L74" i="14"/>
  <c r="O74" i="14" s="1"/>
  <c r="L72" i="14"/>
  <c r="L71" i="14"/>
  <c r="N70" i="14"/>
  <c r="M70" i="14"/>
  <c r="O69" i="14"/>
  <c r="P67" i="14"/>
  <c r="O67" i="14"/>
  <c r="N67" i="14"/>
  <c r="M67" i="14"/>
  <c r="L67" i="14"/>
  <c r="J65" i="14"/>
  <c r="I65" i="14"/>
  <c r="K65" i="14" s="1"/>
  <c r="J64" i="14"/>
  <c r="I64" i="14"/>
  <c r="K64" i="14" s="1"/>
  <c r="N61" i="14"/>
  <c r="L61" i="14"/>
  <c r="O61" i="14" s="1"/>
  <c r="L59" i="14"/>
  <c r="L58" i="14"/>
  <c r="N57" i="14"/>
  <c r="M57" i="14"/>
  <c r="M55" i="14" s="1"/>
  <c r="O54" i="14"/>
  <c r="N54" i="14"/>
  <c r="M54" i="14"/>
  <c r="P54" i="14" s="1"/>
  <c r="L54" i="14"/>
  <c r="N49" i="14"/>
  <c r="L49" i="14"/>
  <c r="O49" i="14" s="1"/>
  <c r="L47" i="14"/>
  <c r="L46" i="14"/>
  <c r="N45" i="14"/>
  <c r="M45" i="14"/>
  <c r="M43" i="14" s="1"/>
  <c r="O42" i="14"/>
  <c r="N42" i="14"/>
  <c r="M42" i="14"/>
  <c r="P42" i="14" s="1"/>
  <c r="L42" i="14"/>
  <c r="P36" i="14"/>
  <c r="O36" i="14"/>
  <c r="P35" i="14"/>
  <c r="O35" i="14"/>
  <c r="M34" i="14"/>
  <c r="P34" i="14" s="1"/>
  <c r="M33" i="14"/>
  <c r="P33" i="14" s="1"/>
  <c r="P32" i="14"/>
  <c r="M32" i="14"/>
  <c r="M31" i="14"/>
  <c r="M29" i="14" s="1"/>
  <c r="M30" i="14"/>
  <c r="P30" i="14" s="1"/>
  <c r="N25" i="14"/>
  <c r="N15" i="14" s="1"/>
  <c r="M25" i="14"/>
  <c r="P25" i="14" s="1"/>
  <c r="L25" i="14"/>
  <c r="O25" i="14" s="1"/>
  <c r="N24" i="14"/>
  <c r="M24" i="14"/>
  <c r="P24" i="14" s="1"/>
  <c r="P23" i="14"/>
  <c r="N23" i="14"/>
  <c r="M23" i="14"/>
  <c r="N21" i="14"/>
  <c r="N19" i="14" s="1"/>
  <c r="M21" i="14"/>
  <c r="P21" i="14" s="1"/>
  <c r="L21" i="14"/>
  <c r="O21" i="14" s="1"/>
  <c r="M19" i="14"/>
  <c r="P19" i="14" s="1"/>
  <c r="L19" i="14"/>
  <c r="O19" i="14" s="1"/>
  <c r="L15" i="14"/>
  <c r="O15" i="14" s="1"/>
  <c r="P14" i="14"/>
  <c r="M14" i="14"/>
  <c r="M13" i="14"/>
  <c r="P13" i="14" s="1"/>
  <c r="J635" i="13"/>
  <c r="I635" i="13"/>
  <c r="J634" i="13"/>
  <c r="I634" i="13"/>
  <c r="J633" i="13"/>
  <c r="I633" i="13"/>
  <c r="K633" i="13" s="1"/>
  <c r="J632" i="13"/>
  <c r="I632" i="13"/>
  <c r="K632" i="13" s="1"/>
  <c r="J631" i="13"/>
  <c r="I631" i="13"/>
  <c r="J630" i="13"/>
  <c r="I630" i="13"/>
  <c r="J629" i="13"/>
  <c r="I629" i="13"/>
  <c r="J628" i="13"/>
  <c r="I628" i="13"/>
  <c r="J626" i="13"/>
  <c r="I626" i="13"/>
  <c r="J625" i="13"/>
  <c r="I625" i="13"/>
  <c r="J624" i="13"/>
  <c r="I624" i="13"/>
  <c r="J623" i="13"/>
  <c r="I623" i="13"/>
  <c r="J622" i="13"/>
  <c r="I622" i="13"/>
  <c r="J621" i="13"/>
  <c r="I621" i="13"/>
  <c r="J620" i="13"/>
  <c r="I620" i="13"/>
  <c r="J619" i="13"/>
  <c r="I619" i="13"/>
  <c r="J618" i="13"/>
  <c r="I618" i="13"/>
  <c r="J617" i="13"/>
  <c r="I617" i="13"/>
  <c r="J616" i="13"/>
  <c r="I616" i="13"/>
  <c r="J615" i="13"/>
  <c r="I615" i="13"/>
  <c r="J614" i="13"/>
  <c r="I614" i="13"/>
  <c r="J613" i="13"/>
  <c r="I613" i="13"/>
  <c r="J612" i="13"/>
  <c r="I612" i="13"/>
  <c r="J611" i="13"/>
  <c r="I611" i="13"/>
  <c r="J610" i="13"/>
  <c r="J609" i="13"/>
  <c r="J608" i="13"/>
  <c r="J607" i="13"/>
  <c r="N605" i="13"/>
  <c r="N604" i="13"/>
  <c r="N603" i="13"/>
  <c r="N602" i="13"/>
  <c r="N601" i="13"/>
  <c r="L601" i="13"/>
  <c r="N600" i="13"/>
  <c r="L600" i="13"/>
  <c r="O600" i="13" s="1"/>
  <c r="N599" i="13"/>
  <c r="L599" i="13"/>
  <c r="N598" i="13"/>
  <c r="L598" i="13"/>
  <c r="O598" i="13" s="1"/>
  <c r="N597" i="13"/>
  <c r="L597" i="13"/>
  <c r="J597" i="13"/>
  <c r="I597" i="13"/>
  <c r="J596" i="13"/>
  <c r="I596" i="13"/>
  <c r="K596" i="13" s="1"/>
  <c r="J595" i="13"/>
  <c r="I595" i="13"/>
  <c r="J594" i="13"/>
  <c r="I594" i="13"/>
  <c r="K594" i="13" s="1"/>
  <c r="J593" i="13"/>
  <c r="I593" i="13"/>
  <c r="J592" i="13"/>
  <c r="I592" i="13"/>
  <c r="J591" i="13"/>
  <c r="I591" i="13"/>
  <c r="J590" i="13"/>
  <c r="I590" i="13"/>
  <c r="K590" i="13" s="1"/>
  <c r="J589" i="13"/>
  <c r="I589" i="13"/>
  <c r="N588" i="13"/>
  <c r="N587" i="13"/>
  <c r="N586" i="13"/>
  <c r="N585" i="13"/>
  <c r="N584" i="13"/>
  <c r="L584" i="13"/>
  <c r="N583" i="13"/>
  <c r="L583" i="13"/>
  <c r="O583" i="13" s="1"/>
  <c r="N582" i="13"/>
  <c r="L582" i="13"/>
  <c r="N581" i="13"/>
  <c r="L581" i="13"/>
  <c r="O581" i="13" s="1"/>
  <c r="N580" i="13"/>
  <c r="L580" i="13"/>
  <c r="J580" i="13"/>
  <c r="I580" i="13"/>
  <c r="J579" i="13"/>
  <c r="I579" i="13"/>
  <c r="K579" i="13" s="1"/>
  <c r="J578" i="13"/>
  <c r="I578" i="13"/>
  <c r="K578" i="13" s="1"/>
  <c r="J577" i="13"/>
  <c r="I577" i="13"/>
  <c r="K577" i="13" s="1"/>
  <c r="J576" i="13"/>
  <c r="I576" i="13"/>
  <c r="K576" i="13" s="1"/>
  <c r="J575" i="13"/>
  <c r="I575" i="13"/>
  <c r="K575" i="13" s="1"/>
  <c r="J573" i="13"/>
  <c r="I573" i="13"/>
  <c r="N572" i="13"/>
  <c r="N571" i="13"/>
  <c r="N570" i="13"/>
  <c r="N569" i="13"/>
  <c r="N568" i="13"/>
  <c r="L568" i="13"/>
  <c r="N567" i="13"/>
  <c r="L567" i="13"/>
  <c r="O567" i="13" s="1"/>
  <c r="N566" i="13"/>
  <c r="L566" i="13"/>
  <c r="N565" i="13"/>
  <c r="L565" i="13"/>
  <c r="O565" i="13" s="1"/>
  <c r="N564" i="13"/>
  <c r="L564" i="13"/>
  <c r="J564" i="13"/>
  <c r="I564" i="13"/>
  <c r="J561" i="13"/>
  <c r="I561" i="13"/>
  <c r="K561" i="13" s="1"/>
  <c r="J560" i="13"/>
  <c r="I560" i="13"/>
  <c r="K560" i="13" s="1"/>
  <c r="N559" i="13"/>
  <c r="N558" i="13"/>
  <c r="N557" i="13"/>
  <c r="N556" i="13"/>
  <c r="N555" i="13"/>
  <c r="L555" i="13"/>
  <c r="O555" i="13" s="1"/>
  <c r="N554" i="13"/>
  <c r="L554" i="13"/>
  <c r="O554" i="13" s="1"/>
  <c r="N553" i="13"/>
  <c r="L553" i="13"/>
  <c r="O553" i="13" s="1"/>
  <c r="N552" i="13"/>
  <c r="L552" i="13"/>
  <c r="O552" i="13" s="1"/>
  <c r="N551" i="13"/>
  <c r="L551" i="13"/>
  <c r="O551" i="13" s="1"/>
  <c r="J551" i="13"/>
  <c r="I551" i="13"/>
  <c r="K551" i="13" s="1"/>
  <c r="J550" i="13"/>
  <c r="J549" i="13"/>
  <c r="J548" i="13"/>
  <c r="I548" i="13"/>
  <c r="K548" i="13" s="1"/>
  <c r="J547" i="13"/>
  <c r="I547" i="13"/>
  <c r="J546" i="13"/>
  <c r="J545" i="13"/>
  <c r="J544" i="13"/>
  <c r="J543" i="13"/>
  <c r="N541" i="13"/>
  <c r="N540" i="13"/>
  <c r="N539" i="13"/>
  <c r="N538" i="13"/>
  <c r="N537" i="13"/>
  <c r="L537" i="13"/>
  <c r="N536" i="13"/>
  <c r="L536" i="13"/>
  <c r="O536" i="13" s="1"/>
  <c r="N535" i="13"/>
  <c r="L535" i="13"/>
  <c r="N534" i="13"/>
  <c r="L534" i="13"/>
  <c r="O534" i="13" s="1"/>
  <c r="N533" i="13"/>
  <c r="L533" i="13"/>
  <c r="J533" i="13"/>
  <c r="I533" i="13"/>
  <c r="J532" i="13"/>
  <c r="I532" i="13"/>
  <c r="J531" i="13"/>
  <c r="I531" i="13"/>
  <c r="J530" i="13"/>
  <c r="I530" i="13"/>
  <c r="J529" i="13"/>
  <c r="I529" i="13"/>
  <c r="J528" i="13"/>
  <c r="I528" i="13"/>
  <c r="J527" i="13"/>
  <c r="I527" i="13"/>
  <c r="J526" i="13"/>
  <c r="I526" i="13"/>
  <c r="J525" i="13"/>
  <c r="I525" i="13"/>
  <c r="J524" i="13"/>
  <c r="I524" i="13"/>
  <c r="J523" i="13"/>
  <c r="I523" i="13"/>
  <c r="J522" i="13"/>
  <c r="I522" i="13"/>
  <c r="J521" i="13"/>
  <c r="I521" i="13"/>
  <c r="J520" i="13"/>
  <c r="I520" i="13"/>
  <c r="J519" i="13"/>
  <c r="I519" i="13"/>
  <c r="J518" i="13"/>
  <c r="I518" i="13"/>
  <c r="J517" i="13"/>
  <c r="I517" i="13"/>
  <c r="J516" i="13"/>
  <c r="I516" i="13"/>
  <c r="J515" i="13"/>
  <c r="I515" i="13"/>
  <c r="K515" i="13" s="1"/>
  <c r="J514" i="13"/>
  <c r="I514" i="13"/>
  <c r="K514" i="13" s="1"/>
  <c r="J513" i="13"/>
  <c r="I513" i="13"/>
  <c r="K513" i="13" s="1"/>
  <c r="J512" i="13"/>
  <c r="I512" i="13"/>
  <c r="K512" i="13" s="1"/>
  <c r="J511" i="13"/>
  <c r="I511" i="13"/>
  <c r="K511" i="13" s="1"/>
  <c r="J510" i="13"/>
  <c r="I510" i="13"/>
  <c r="K510" i="13" s="1"/>
  <c r="J509" i="13"/>
  <c r="I509" i="13"/>
  <c r="K509" i="13" s="1"/>
  <c r="J508" i="13"/>
  <c r="I508" i="13"/>
  <c r="K508" i="13" s="1"/>
  <c r="J507" i="13"/>
  <c r="I507" i="13"/>
  <c r="K507" i="13" s="1"/>
  <c r="J506" i="13"/>
  <c r="I506" i="13"/>
  <c r="K506" i="13" s="1"/>
  <c r="J505" i="13"/>
  <c r="I505" i="13"/>
  <c r="K505" i="13" s="1"/>
  <c r="J504" i="13"/>
  <c r="I504" i="13"/>
  <c r="K504" i="13" s="1"/>
  <c r="J503" i="13"/>
  <c r="I503" i="13"/>
  <c r="K503" i="13" s="1"/>
  <c r="J502" i="13"/>
  <c r="I502" i="13"/>
  <c r="K502" i="13" s="1"/>
  <c r="J501" i="13"/>
  <c r="I501" i="13"/>
  <c r="K501" i="13" s="1"/>
  <c r="J500" i="13"/>
  <c r="I500" i="13"/>
  <c r="K500" i="13" s="1"/>
  <c r="J499" i="13"/>
  <c r="I499" i="13"/>
  <c r="J498" i="13"/>
  <c r="I498" i="13"/>
  <c r="J497" i="13"/>
  <c r="I497" i="13"/>
  <c r="J496" i="13"/>
  <c r="I496" i="13"/>
  <c r="K496" i="13" s="1"/>
  <c r="J495" i="13"/>
  <c r="I495" i="13"/>
  <c r="K495" i="13" s="1"/>
  <c r="J494" i="13"/>
  <c r="I494" i="13"/>
  <c r="K494" i="13" s="1"/>
  <c r="J493" i="13"/>
  <c r="I493" i="13"/>
  <c r="K493" i="13" s="1"/>
  <c r="J492" i="13"/>
  <c r="I492" i="13"/>
  <c r="K492" i="13" s="1"/>
  <c r="J491" i="13"/>
  <c r="I491" i="13"/>
  <c r="K491" i="13" s="1"/>
  <c r="J490" i="13"/>
  <c r="I490" i="13"/>
  <c r="K490" i="13" s="1"/>
  <c r="J489" i="13"/>
  <c r="I489" i="13"/>
  <c r="K489" i="13" s="1"/>
  <c r="J488" i="13"/>
  <c r="I488" i="13"/>
  <c r="K488" i="13" s="1"/>
  <c r="J487" i="13"/>
  <c r="I487" i="13"/>
  <c r="K487" i="13" s="1"/>
  <c r="J486" i="13"/>
  <c r="I486" i="13"/>
  <c r="K486" i="13" s="1"/>
  <c r="J485" i="13"/>
  <c r="I485" i="13"/>
  <c r="K485" i="13" s="1"/>
  <c r="J484" i="13"/>
  <c r="I484" i="13"/>
  <c r="K484" i="13" s="1"/>
  <c r="J483" i="13"/>
  <c r="I483" i="13"/>
  <c r="K483" i="13" s="1"/>
  <c r="J482" i="13"/>
  <c r="I482" i="13"/>
  <c r="J481" i="13"/>
  <c r="I481" i="13"/>
  <c r="J480" i="13"/>
  <c r="I480" i="13"/>
  <c r="K480" i="13" s="1"/>
  <c r="J479" i="13"/>
  <c r="I479" i="13"/>
  <c r="K479" i="13" s="1"/>
  <c r="J478" i="13"/>
  <c r="I478" i="13"/>
  <c r="K478" i="13" s="1"/>
  <c r="J477" i="13"/>
  <c r="I477" i="13"/>
  <c r="K477" i="13" s="1"/>
  <c r="J476" i="13"/>
  <c r="I476" i="13"/>
  <c r="K476" i="13" s="1"/>
  <c r="J475" i="13"/>
  <c r="I475" i="13"/>
  <c r="K475" i="13" s="1"/>
  <c r="J474" i="13"/>
  <c r="I474" i="13"/>
  <c r="J473" i="13"/>
  <c r="I473" i="13"/>
  <c r="J472" i="13"/>
  <c r="I472" i="13"/>
  <c r="K472" i="13" s="1"/>
  <c r="J471" i="13"/>
  <c r="I471" i="13"/>
  <c r="K471" i="13" s="1"/>
  <c r="J470" i="13"/>
  <c r="I470" i="13"/>
  <c r="K470" i="13" s="1"/>
  <c r="J469" i="13"/>
  <c r="I469" i="13"/>
  <c r="K469" i="13" s="1"/>
  <c r="J468" i="13"/>
  <c r="I468" i="13"/>
  <c r="K468" i="13" s="1"/>
  <c r="J467" i="13"/>
  <c r="I467" i="13"/>
  <c r="K467" i="13" s="1"/>
  <c r="J466" i="13"/>
  <c r="I466" i="13"/>
  <c r="J465" i="13"/>
  <c r="I465" i="13"/>
  <c r="J464" i="13"/>
  <c r="I464" i="13"/>
  <c r="N463" i="13"/>
  <c r="N462" i="13"/>
  <c r="N461" i="13"/>
  <c r="N460" i="13"/>
  <c r="N459" i="13"/>
  <c r="L459" i="13"/>
  <c r="N458" i="13"/>
  <c r="L458" i="13"/>
  <c r="O458" i="13" s="1"/>
  <c r="N457" i="13"/>
  <c r="L457" i="13"/>
  <c r="N456" i="13"/>
  <c r="L456" i="13"/>
  <c r="O456" i="13" s="1"/>
  <c r="N455" i="13"/>
  <c r="L455" i="13"/>
  <c r="J455" i="13"/>
  <c r="I455" i="13"/>
  <c r="J454" i="13"/>
  <c r="J453" i="13"/>
  <c r="J452" i="13"/>
  <c r="I452" i="13"/>
  <c r="K452" i="13" s="1"/>
  <c r="J451" i="13"/>
  <c r="I451" i="13"/>
  <c r="K451" i="13" s="1"/>
  <c r="J450" i="13"/>
  <c r="I450" i="13"/>
  <c r="J449" i="13"/>
  <c r="I449" i="13"/>
  <c r="J448" i="13"/>
  <c r="J447" i="13"/>
  <c r="J446" i="13"/>
  <c r="J445" i="13"/>
  <c r="N443" i="13"/>
  <c r="N442" i="13"/>
  <c r="N441" i="13"/>
  <c r="N440" i="13"/>
  <c r="N439" i="13"/>
  <c r="L439" i="13"/>
  <c r="N438" i="13"/>
  <c r="L438" i="13"/>
  <c r="O438" i="13" s="1"/>
  <c r="N437" i="13"/>
  <c r="L437" i="13"/>
  <c r="N436" i="13"/>
  <c r="L436" i="13"/>
  <c r="O436" i="13" s="1"/>
  <c r="N435" i="13"/>
  <c r="L435" i="13"/>
  <c r="J435" i="13"/>
  <c r="I435" i="13"/>
  <c r="J434" i="13"/>
  <c r="J433" i="13"/>
  <c r="J432" i="13"/>
  <c r="I432" i="13"/>
  <c r="J431" i="13"/>
  <c r="I431" i="13"/>
  <c r="K431" i="13" s="1"/>
  <c r="J430" i="13"/>
  <c r="I430" i="13"/>
  <c r="J429" i="13"/>
  <c r="I429" i="13"/>
  <c r="J428" i="13"/>
  <c r="I428" i="13"/>
  <c r="J427" i="13"/>
  <c r="I427" i="13"/>
  <c r="J426" i="13"/>
  <c r="I426" i="13"/>
  <c r="J425" i="13"/>
  <c r="I425" i="13"/>
  <c r="J424" i="13"/>
  <c r="I424" i="13"/>
  <c r="J423" i="13"/>
  <c r="I423" i="13"/>
  <c r="J422" i="13"/>
  <c r="I422" i="13"/>
  <c r="J421" i="13"/>
  <c r="I421" i="13"/>
  <c r="J420" i="13"/>
  <c r="I420" i="13"/>
  <c r="K420" i="13" s="1"/>
  <c r="J419" i="13"/>
  <c r="I419" i="13"/>
  <c r="K419" i="13" s="1"/>
  <c r="J418" i="13"/>
  <c r="I418" i="13"/>
  <c r="K418" i="13" s="1"/>
  <c r="J417" i="13"/>
  <c r="I417" i="13"/>
  <c r="K417" i="13" s="1"/>
  <c r="J416" i="13"/>
  <c r="I416" i="13"/>
  <c r="J415" i="13"/>
  <c r="J414" i="13"/>
  <c r="J413" i="13"/>
  <c r="J412" i="13"/>
  <c r="N410" i="13"/>
  <c r="N409" i="13"/>
  <c r="N408" i="13"/>
  <c r="N407" i="13"/>
  <c r="N406" i="13"/>
  <c r="L406" i="13"/>
  <c r="N405" i="13"/>
  <c r="L405" i="13"/>
  <c r="O405" i="13" s="1"/>
  <c r="N404" i="13"/>
  <c r="L404" i="13"/>
  <c r="N403" i="13"/>
  <c r="L403" i="13"/>
  <c r="O403" i="13" s="1"/>
  <c r="J402" i="13"/>
  <c r="I402" i="13"/>
  <c r="N401" i="13"/>
  <c r="L401" i="13"/>
  <c r="J401" i="13"/>
  <c r="I401" i="13"/>
  <c r="J400" i="13"/>
  <c r="J399" i="13"/>
  <c r="J398" i="13"/>
  <c r="I398" i="13"/>
  <c r="J397" i="13"/>
  <c r="I397" i="13"/>
  <c r="J396" i="13"/>
  <c r="I396" i="13"/>
  <c r="J394" i="13"/>
  <c r="J393" i="13"/>
  <c r="J392" i="13"/>
  <c r="J391" i="13"/>
  <c r="N389" i="13"/>
  <c r="N388" i="13"/>
  <c r="N387" i="13"/>
  <c r="N386" i="13"/>
  <c r="N385" i="13"/>
  <c r="L385" i="13"/>
  <c r="N384" i="13"/>
  <c r="L384" i="13"/>
  <c r="O384" i="13" s="1"/>
  <c r="N383" i="13"/>
  <c r="L383" i="13"/>
  <c r="N382" i="13"/>
  <c r="L382" i="13"/>
  <c r="O382" i="13" s="1"/>
  <c r="J381" i="13"/>
  <c r="I381" i="13"/>
  <c r="N380" i="13"/>
  <c r="L380" i="13"/>
  <c r="J380" i="13"/>
  <c r="I380" i="13"/>
  <c r="J379" i="13"/>
  <c r="J378" i="13"/>
  <c r="J377" i="13"/>
  <c r="I377" i="13"/>
  <c r="J376" i="13"/>
  <c r="I376" i="13"/>
  <c r="J375" i="13"/>
  <c r="I375" i="13"/>
  <c r="J374" i="13"/>
  <c r="I374" i="13"/>
  <c r="J373" i="13"/>
  <c r="I373" i="13"/>
  <c r="K373" i="13" s="1"/>
  <c r="J372" i="13"/>
  <c r="I372" i="13"/>
  <c r="J371" i="13"/>
  <c r="I371" i="13"/>
  <c r="K371" i="13" s="1"/>
  <c r="J370" i="13"/>
  <c r="I370" i="13"/>
  <c r="J369" i="13"/>
  <c r="I369" i="13"/>
  <c r="J368" i="13"/>
  <c r="I368" i="13"/>
  <c r="J367" i="13"/>
  <c r="J366" i="13"/>
  <c r="J365" i="13"/>
  <c r="I365" i="13"/>
  <c r="K365" i="13" s="1"/>
  <c r="J364" i="13"/>
  <c r="J363" i="13"/>
  <c r="J362" i="13"/>
  <c r="J361" i="13"/>
  <c r="J360" i="13"/>
  <c r="N358" i="13"/>
  <c r="N357" i="13"/>
  <c r="N356" i="13"/>
  <c r="N355" i="13"/>
  <c r="N354" i="13"/>
  <c r="L354" i="13"/>
  <c r="N353" i="13"/>
  <c r="L353" i="13"/>
  <c r="N352" i="13"/>
  <c r="L352" i="13"/>
  <c r="N351" i="13"/>
  <c r="L351" i="13"/>
  <c r="J350" i="13"/>
  <c r="I350" i="13"/>
  <c r="N349" i="13"/>
  <c r="L349" i="13"/>
  <c r="J349" i="13"/>
  <c r="I349" i="13"/>
  <c r="N347" i="13"/>
  <c r="L347" i="13"/>
  <c r="J346" i="13"/>
  <c r="I346" i="13"/>
  <c r="K346" i="13" s="1"/>
  <c r="J345" i="13"/>
  <c r="I345" i="13"/>
  <c r="J344" i="13"/>
  <c r="I344" i="13"/>
  <c r="K344" i="13" s="1"/>
  <c r="J343" i="13"/>
  <c r="I343" i="13"/>
  <c r="J342" i="13"/>
  <c r="I342" i="13"/>
  <c r="K342" i="13" s="1"/>
  <c r="J341" i="13"/>
  <c r="I341" i="13"/>
  <c r="J340" i="13"/>
  <c r="I340" i="13"/>
  <c r="J339" i="13"/>
  <c r="I339" i="13"/>
  <c r="K339" i="13" s="1"/>
  <c r="N337" i="13"/>
  <c r="L337" i="13"/>
  <c r="L335" i="13"/>
  <c r="L334" i="13"/>
  <c r="N333" i="13"/>
  <c r="M333" i="13"/>
  <c r="O332" i="13"/>
  <c r="P330" i="13"/>
  <c r="O330" i="13"/>
  <c r="N330" i="13"/>
  <c r="M330" i="13"/>
  <c r="L330" i="13"/>
  <c r="J328" i="13"/>
  <c r="I328" i="13"/>
  <c r="J326" i="13"/>
  <c r="J325" i="13"/>
  <c r="J324" i="13"/>
  <c r="I324" i="13"/>
  <c r="J323" i="13"/>
  <c r="J322" i="13"/>
  <c r="J321" i="13"/>
  <c r="J320" i="13"/>
  <c r="N318" i="13"/>
  <c r="L318" i="13"/>
  <c r="L316" i="13"/>
  <c r="L315" i="13"/>
  <c r="N314" i="13"/>
  <c r="M314" i="13"/>
  <c r="O313" i="13"/>
  <c r="P311" i="13"/>
  <c r="O311" i="13"/>
  <c r="N311" i="13"/>
  <c r="M311" i="13"/>
  <c r="L311" i="13"/>
  <c r="J309" i="13"/>
  <c r="I309" i="13"/>
  <c r="J308" i="13"/>
  <c r="J307" i="13"/>
  <c r="J306" i="13"/>
  <c r="I306" i="13"/>
  <c r="J304" i="13"/>
  <c r="I304" i="13"/>
  <c r="J303" i="13"/>
  <c r="J302" i="13"/>
  <c r="J301" i="13"/>
  <c r="J300" i="13"/>
  <c r="N298" i="13"/>
  <c r="L298" i="13"/>
  <c r="O298" i="13" s="1"/>
  <c r="L296" i="13"/>
  <c r="L295" i="13"/>
  <c r="N294" i="13"/>
  <c r="M294" i="13"/>
  <c r="O293" i="13"/>
  <c r="P291" i="13"/>
  <c r="O291" i="13"/>
  <c r="N291" i="13"/>
  <c r="M291" i="13"/>
  <c r="L291" i="13"/>
  <c r="J289" i="13"/>
  <c r="I289" i="13"/>
  <c r="J287" i="13"/>
  <c r="J286" i="13"/>
  <c r="J285" i="13"/>
  <c r="I285" i="13"/>
  <c r="J284" i="13"/>
  <c r="J283" i="13"/>
  <c r="J282" i="13"/>
  <c r="J281" i="13"/>
  <c r="N279" i="13"/>
  <c r="L279" i="13"/>
  <c r="O279" i="13" s="1"/>
  <c r="L277" i="13"/>
  <c r="L276" i="13"/>
  <c r="N275" i="13"/>
  <c r="M275" i="13"/>
  <c r="M273" i="13" s="1"/>
  <c r="O274" i="13"/>
  <c r="N272" i="13"/>
  <c r="M272" i="13"/>
  <c r="P272" i="13" s="1"/>
  <c r="L272" i="13"/>
  <c r="O272" i="13" s="1"/>
  <c r="J270" i="13"/>
  <c r="I270" i="13"/>
  <c r="J269" i="13"/>
  <c r="J268" i="13"/>
  <c r="J267" i="13"/>
  <c r="I267" i="13"/>
  <c r="K267" i="13" s="1"/>
  <c r="J266" i="13"/>
  <c r="I266" i="13"/>
  <c r="K266" i="13" s="1"/>
  <c r="J265" i="13"/>
  <c r="I265" i="13"/>
  <c r="K265" i="13" s="1"/>
  <c r="J264" i="13"/>
  <c r="I264" i="13"/>
  <c r="K264" i="13" s="1"/>
  <c r="J263" i="13"/>
  <c r="J262" i="13"/>
  <c r="J261" i="13"/>
  <c r="J260" i="13"/>
  <c r="N258" i="13"/>
  <c r="L258" i="13"/>
  <c r="O258" i="13" s="1"/>
  <c r="L256" i="13"/>
  <c r="L255" i="13"/>
  <c r="N254" i="13"/>
  <c r="M254" i="13"/>
  <c r="O253" i="13"/>
  <c r="N251" i="13"/>
  <c r="M251" i="13"/>
  <c r="L251" i="13"/>
  <c r="O251" i="13" s="1"/>
  <c r="J249" i="13"/>
  <c r="I249" i="13"/>
  <c r="K249" i="13" s="1"/>
  <c r="J246" i="13"/>
  <c r="J245" i="13"/>
  <c r="J244" i="13"/>
  <c r="I244" i="13"/>
  <c r="K244" i="13" s="1"/>
  <c r="J243" i="13"/>
  <c r="J242" i="13"/>
  <c r="J241" i="13"/>
  <c r="J240" i="13"/>
  <c r="J238" i="13"/>
  <c r="I238" i="13"/>
  <c r="K238" i="13" s="1"/>
  <c r="J237" i="13"/>
  <c r="J236" i="13"/>
  <c r="J235" i="13"/>
  <c r="I235" i="13"/>
  <c r="J234" i="13"/>
  <c r="J233" i="13"/>
  <c r="J232" i="13"/>
  <c r="J231" i="13"/>
  <c r="J229" i="13"/>
  <c r="I229" i="13"/>
  <c r="N228" i="13"/>
  <c r="L228" i="13"/>
  <c r="O228" i="13" s="1"/>
  <c r="L226" i="13"/>
  <c r="L225" i="13"/>
  <c r="N224" i="13"/>
  <c r="M224" i="13"/>
  <c r="O223" i="13"/>
  <c r="P221" i="13"/>
  <c r="O221" i="13"/>
  <c r="N221" i="13"/>
  <c r="M221" i="13"/>
  <c r="L221" i="13"/>
  <c r="J219" i="13"/>
  <c r="I219" i="13"/>
  <c r="J218" i="13"/>
  <c r="J217" i="13"/>
  <c r="J216" i="13"/>
  <c r="I216" i="13"/>
  <c r="K216" i="13" s="1"/>
  <c r="J215" i="13"/>
  <c r="I215" i="13"/>
  <c r="K215" i="13" s="1"/>
  <c r="J213" i="13"/>
  <c r="I213" i="13"/>
  <c r="K213" i="13" s="1"/>
  <c r="J212" i="13"/>
  <c r="J211" i="13"/>
  <c r="J210" i="13"/>
  <c r="J209" i="13"/>
  <c r="J204" i="13"/>
  <c r="I204" i="13"/>
  <c r="K204" i="13" s="1"/>
  <c r="J203" i="13"/>
  <c r="J202" i="13"/>
  <c r="J201" i="13"/>
  <c r="I201" i="13"/>
  <c r="K201" i="13" s="1"/>
  <c r="J200" i="13"/>
  <c r="I200" i="13"/>
  <c r="J199" i="13"/>
  <c r="I199" i="13"/>
  <c r="J197" i="13"/>
  <c r="J196" i="13"/>
  <c r="J195" i="13"/>
  <c r="J194" i="13"/>
  <c r="J189" i="13"/>
  <c r="I189" i="13"/>
  <c r="J188" i="13"/>
  <c r="J187" i="13"/>
  <c r="J186" i="13"/>
  <c r="I186" i="13"/>
  <c r="J185" i="13"/>
  <c r="I185" i="13"/>
  <c r="J184" i="13"/>
  <c r="J183" i="13"/>
  <c r="J182" i="13"/>
  <c r="J181" i="13"/>
  <c r="J176" i="13"/>
  <c r="I176" i="13"/>
  <c r="J175" i="13"/>
  <c r="J174" i="13"/>
  <c r="J173" i="13"/>
  <c r="I173" i="13"/>
  <c r="J172" i="13"/>
  <c r="J171" i="13"/>
  <c r="J170" i="13"/>
  <c r="J169" i="13"/>
  <c r="J164" i="13"/>
  <c r="I164" i="13"/>
  <c r="J163" i="13"/>
  <c r="J162" i="13"/>
  <c r="J161" i="13"/>
  <c r="J160" i="13"/>
  <c r="J159" i="13"/>
  <c r="J158" i="13"/>
  <c r="I158" i="13"/>
  <c r="J157" i="13"/>
  <c r="J156" i="13"/>
  <c r="J155" i="13"/>
  <c r="J154" i="13"/>
  <c r="J149" i="13"/>
  <c r="I149" i="13"/>
  <c r="N148" i="13"/>
  <c r="L148" i="13"/>
  <c r="O148" i="13" s="1"/>
  <c r="L146" i="13"/>
  <c r="L145" i="13"/>
  <c r="N144" i="13"/>
  <c r="M144" i="13"/>
  <c r="M142" i="13" s="1"/>
  <c r="O143" i="13"/>
  <c r="N141" i="13"/>
  <c r="M141" i="13"/>
  <c r="L141" i="13"/>
  <c r="O141" i="13" s="1"/>
  <c r="J138" i="13"/>
  <c r="I138" i="13"/>
  <c r="K138" i="13" s="1"/>
  <c r="J135" i="13"/>
  <c r="J134" i="13"/>
  <c r="J133" i="13"/>
  <c r="I133" i="13"/>
  <c r="J132" i="13"/>
  <c r="I132" i="13"/>
  <c r="J131" i="13"/>
  <c r="J130" i="13"/>
  <c r="J129" i="13"/>
  <c r="J128" i="13"/>
  <c r="N126" i="13"/>
  <c r="L126" i="13"/>
  <c r="L124" i="13"/>
  <c r="L123" i="13"/>
  <c r="N122" i="13"/>
  <c r="M122" i="13"/>
  <c r="M120" i="13" s="1"/>
  <c r="O121" i="13"/>
  <c r="N119" i="13"/>
  <c r="M119" i="13"/>
  <c r="P119" i="13" s="1"/>
  <c r="L119" i="13"/>
  <c r="O119" i="13" s="1"/>
  <c r="J117" i="13"/>
  <c r="I117" i="13"/>
  <c r="J115" i="13"/>
  <c r="J114" i="13"/>
  <c r="J113" i="13"/>
  <c r="I113" i="13"/>
  <c r="K113" i="13" s="1"/>
  <c r="J112" i="13"/>
  <c r="I112" i="13"/>
  <c r="K112" i="13" s="1"/>
  <c r="J111" i="13"/>
  <c r="I111" i="13"/>
  <c r="K111" i="13" s="1"/>
  <c r="J110" i="13"/>
  <c r="I110" i="13"/>
  <c r="K110" i="13" s="1"/>
  <c r="J109" i="13"/>
  <c r="I109" i="13"/>
  <c r="K109" i="13" s="1"/>
  <c r="J108" i="13"/>
  <c r="I108" i="13"/>
  <c r="K108" i="13" s="1"/>
  <c r="J107" i="13"/>
  <c r="J106" i="13"/>
  <c r="J105" i="13"/>
  <c r="J104" i="13"/>
  <c r="N102" i="13"/>
  <c r="L102" i="13"/>
  <c r="O102" i="13" s="1"/>
  <c r="L100" i="13"/>
  <c r="L99" i="13"/>
  <c r="N98" i="13"/>
  <c r="M98" i="13"/>
  <c r="O97" i="13"/>
  <c r="O95" i="13"/>
  <c r="N95" i="13"/>
  <c r="M95" i="13"/>
  <c r="P95" i="13" s="1"/>
  <c r="L95" i="13"/>
  <c r="J93" i="13"/>
  <c r="I93" i="13"/>
  <c r="K93" i="13" s="1"/>
  <c r="J92" i="13"/>
  <c r="I92" i="13"/>
  <c r="K92" i="13" s="1"/>
  <c r="J90" i="13"/>
  <c r="J89" i="13"/>
  <c r="J88" i="13"/>
  <c r="I88" i="13"/>
  <c r="K88" i="13" s="1"/>
  <c r="J87" i="13"/>
  <c r="I87" i="13"/>
  <c r="K87" i="13" s="1"/>
  <c r="J86" i="13"/>
  <c r="I86" i="13"/>
  <c r="K86" i="13" s="1"/>
  <c r="J85" i="13"/>
  <c r="I85" i="13"/>
  <c r="K85" i="13" s="1"/>
  <c r="J84" i="13"/>
  <c r="I84" i="13"/>
  <c r="K84" i="13" s="1"/>
  <c r="J83" i="13"/>
  <c r="I83" i="13"/>
  <c r="K83" i="13" s="1"/>
  <c r="J82" i="13"/>
  <c r="I82" i="13"/>
  <c r="K82" i="13" s="1"/>
  <c r="J81" i="13"/>
  <c r="I81" i="13"/>
  <c r="K81" i="13" s="1"/>
  <c r="J80" i="13"/>
  <c r="I80" i="13"/>
  <c r="K80" i="13" s="1"/>
  <c r="J79" i="13"/>
  <c r="J78" i="13"/>
  <c r="J77" i="13"/>
  <c r="J76" i="13"/>
  <c r="N74" i="13"/>
  <c r="L74" i="13"/>
  <c r="O74" i="13" s="1"/>
  <c r="L72" i="13"/>
  <c r="L71" i="13"/>
  <c r="N70" i="13"/>
  <c r="M70" i="13"/>
  <c r="M68" i="13" s="1"/>
  <c r="O69" i="13"/>
  <c r="P67" i="13"/>
  <c r="N67" i="13"/>
  <c r="M67" i="13"/>
  <c r="L67" i="13"/>
  <c r="J65" i="13"/>
  <c r="I65" i="13"/>
  <c r="K65" i="13" s="1"/>
  <c r="J64" i="13"/>
  <c r="I64" i="13"/>
  <c r="K64" i="13" s="1"/>
  <c r="N61" i="13"/>
  <c r="L61" i="13"/>
  <c r="O61" i="13" s="1"/>
  <c r="L59" i="13"/>
  <c r="L58" i="13"/>
  <c r="N57" i="13"/>
  <c r="M57" i="13"/>
  <c r="O54" i="13"/>
  <c r="N54" i="13"/>
  <c r="M54" i="13"/>
  <c r="P54" i="13" s="1"/>
  <c r="L54" i="13"/>
  <c r="N49" i="13"/>
  <c r="L49" i="13"/>
  <c r="O49" i="13" s="1"/>
  <c r="L47" i="13"/>
  <c r="L46" i="13"/>
  <c r="N45" i="13"/>
  <c r="M45" i="13"/>
  <c r="M43" i="13" s="1"/>
  <c r="M41" i="13" s="1"/>
  <c r="N42" i="13"/>
  <c r="M42" i="13"/>
  <c r="P42" i="13" s="1"/>
  <c r="L42" i="13"/>
  <c r="P36" i="13"/>
  <c r="O36" i="13"/>
  <c r="P35" i="13"/>
  <c r="O35" i="13"/>
  <c r="P34" i="13"/>
  <c r="M34" i="13"/>
  <c r="M33" i="13"/>
  <c r="P33" i="13" s="1"/>
  <c r="P32" i="13"/>
  <c r="M32" i="13"/>
  <c r="M30" i="13" s="1"/>
  <c r="P30" i="13" s="1"/>
  <c r="M31" i="13"/>
  <c r="M29" i="13" s="1"/>
  <c r="P29" i="13" s="1"/>
  <c r="M28" i="13"/>
  <c r="P28" i="13" s="1"/>
  <c r="P25" i="13"/>
  <c r="O25" i="13"/>
  <c r="N25" i="13"/>
  <c r="M25" i="13"/>
  <c r="L25" i="13"/>
  <c r="N24" i="13"/>
  <c r="M24" i="13"/>
  <c r="P24" i="13" s="1"/>
  <c r="P23" i="13"/>
  <c r="N23" i="13"/>
  <c r="M23" i="13"/>
  <c r="N21" i="13"/>
  <c r="M21" i="13"/>
  <c r="P21" i="13" s="1"/>
  <c r="L21" i="13"/>
  <c r="O21" i="13" s="1"/>
  <c r="N19" i="13"/>
  <c r="M19" i="13"/>
  <c r="L19" i="13"/>
  <c r="O19" i="13" s="1"/>
  <c r="N15" i="13"/>
  <c r="M15" i="13"/>
  <c r="P15" i="13" s="1"/>
  <c r="L15" i="13"/>
  <c r="O15" i="13" s="1"/>
  <c r="P14" i="13"/>
  <c r="M14" i="13"/>
  <c r="M13" i="13"/>
  <c r="P13" i="13" s="1"/>
  <c r="P11" i="13"/>
  <c r="M11" i="13"/>
  <c r="M9" i="13" s="1"/>
  <c r="J635" i="12"/>
  <c r="I635" i="12"/>
  <c r="J634" i="12"/>
  <c r="I634" i="12"/>
  <c r="J633" i="12"/>
  <c r="I633" i="12"/>
  <c r="K633" i="12" s="1"/>
  <c r="J632" i="12"/>
  <c r="I632" i="12"/>
  <c r="K632" i="12" s="1"/>
  <c r="J631" i="12"/>
  <c r="I631" i="12"/>
  <c r="J630" i="12"/>
  <c r="I630" i="12"/>
  <c r="J629" i="12"/>
  <c r="I629" i="12"/>
  <c r="J628" i="12"/>
  <c r="I628" i="12"/>
  <c r="J626" i="12"/>
  <c r="I626" i="12"/>
  <c r="J625" i="12"/>
  <c r="I625" i="12"/>
  <c r="J624" i="12"/>
  <c r="I624" i="12"/>
  <c r="J623" i="12"/>
  <c r="I623" i="12"/>
  <c r="J622" i="12"/>
  <c r="I622" i="12"/>
  <c r="J621" i="12"/>
  <c r="I621" i="12"/>
  <c r="J620" i="12"/>
  <c r="I620" i="12"/>
  <c r="J619" i="12"/>
  <c r="I619" i="12"/>
  <c r="J618" i="12"/>
  <c r="I618" i="12"/>
  <c r="J617" i="12"/>
  <c r="I617" i="12"/>
  <c r="J616" i="12"/>
  <c r="I616" i="12"/>
  <c r="J615" i="12"/>
  <c r="I615" i="12"/>
  <c r="J614" i="12"/>
  <c r="I614" i="12"/>
  <c r="J613" i="12"/>
  <c r="I613" i="12"/>
  <c r="J612" i="12"/>
  <c r="I612" i="12"/>
  <c r="J611" i="12"/>
  <c r="I611" i="12"/>
  <c r="J610" i="12"/>
  <c r="J609" i="12"/>
  <c r="J608" i="12"/>
  <c r="J607" i="12"/>
  <c r="N605" i="12"/>
  <c r="N604" i="12"/>
  <c r="N603" i="12"/>
  <c r="N602" i="12"/>
  <c r="N601" i="12"/>
  <c r="L601" i="12"/>
  <c r="N600" i="12"/>
  <c r="L600" i="12"/>
  <c r="O600" i="12" s="1"/>
  <c r="N599" i="12"/>
  <c r="L599" i="12"/>
  <c r="N598" i="12"/>
  <c r="L598" i="12"/>
  <c r="N597" i="12"/>
  <c r="L597" i="12"/>
  <c r="J597" i="12"/>
  <c r="I597" i="12"/>
  <c r="J596" i="12"/>
  <c r="I596" i="12"/>
  <c r="K596" i="12" s="1"/>
  <c r="J595" i="12"/>
  <c r="I595" i="12"/>
  <c r="K595" i="12" s="1"/>
  <c r="J594" i="12"/>
  <c r="I594" i="12"/>
  <c r="K594" i="12" s="1"/>
  <c r="J593" i="12"/>
  <c r="I593" i="12"/>
  <c r="K593" i="12" s="1"/>
  <c r="J592" i="12"/>
  <c r="I592" i="12"/>
  <c r="K592" i="12" s="1"/>
  <c r="J591" i="12"/>
  <c r="I591" i="12"/>
  <c r="K591" i="12" s="1"/>
  <c r="J590" i="12"/>
  <c r="I590" i="12"/>
  <c r="K590" i="12" s="1"/>
  <c r="J589" i="12"/>
  <c r="I589" i="12"/>
  <c r="K589" i="12" s="1"/>
  <c r="N588" i="12"/>
  <c r="N587" i="12"/>
  <c r="N586" i="12"/>
  <c r="N585" i="12"/>
  <c r="N584" i="12"/>
  <c r="L584" i="12"/>
  <c r="O584" i="12" s="1"/>
  <c r="N583" i="12"/>
  <c r="L583" i="12"/>
  <c r="O583" i="12" s="1"/>
  <c r="N582" i="12"/>
  <c r="L582" i="12"/>
  <c r="O582" i="12" s="1"/>
  <c r="N581" i="12"/>
  <c r="L581" i="12"/>
  <c r="O581" i="12" s="1"/>
  <c r="N580" i="12"/>
  <c r="L580" i="12"/>
  <c r="O580" i="12" s="1"/>
  <c r="J580" i="12"/>
  <c r="I580" i="12"/>
  <c r="K580" i="12" s="1"/>
  <c r="J579" i="12"/>
  <c r="I579" i="12"/>
  <c r="K579" i="12" s="1"/>
  <c r="J578" i="12"/>
  <c r="I578" i="12"/>
  <c r="K578" i="12" s="1"/>
  <c r="J577" i="12"/>
  <c r="I577" i="12"/>
  <c r="K577" i="12" s="1"/>
  <c r="J576" i="12"/>
  <c r="I576" i="12"/>
  <c r="K576" i="12" s="1"/>
  <c r="J575" i="12"/>
  <c r="I575" i="12"/>
  <c r="J573" i="12"/>
  <c r="I573" i="12"/>
  <c r="N572" i="12"/>
  <c r="N571" i="12"/>
  <c r="N570" i="12"/>
  <c r="N569" i="12"/>
  <c r="N568" i="12"/>
  <c r="L568" i="12"/>
  <c r="N567" i="12"/>
  <c r="L567" i="12"/>
  <c r="O567" i="12" s="1"/>
  <c r="N566" i="12"/>
  <c r="L566" i="12"/>
  <c r="N565" i="12"/>
  <c r="L565" i="12"/>
  <c r="O565" i="12" s="1"/>
  <c r="N564" i="12"/>
  <c r="L564" i="12"/>
  <c r="J564" i="12"/>
  <c r="I564" i="12"/>
  <c r="J561" i="12"/>
  <c r="I561" i="12"/>
  <c r="K561" i="12" s="1"/>
  <c r="J560" i="12"/>
  <c r="I560" i="12"/>
  <c r="K560" i="12" s="1"/>
  <c r="N559" i="12"/>
  <c r="N558" i="12"/>
  <c r="N557" i="12"/>
  <c r="N556" i="12"/>
  <c r="N555" i="12"/>
  <c r="L555" i="12"/>
  <c r="O555" i="12" s="1"/>
  <c r="N554" i="12"/>
  <c r="L554" i="12"/>
  <c r="O554" i="12" s="1"/>
  <c r="N553" i="12"/>
  <c r="L553" i="12"/>
  <c r="N552" i="12"/>
  <c r="L552" i="12"/>
  <c r="O552" i="12" s="1"/>
  <c r="N551" i="12"/>
  <c r="L551" i="12"/>
  <c r="O551" i="12" s="1"/>
  <c r="J551" i="12"/>
  <c r="I551" i="12"/>
  <c r="K551" i="12" s="1"/>
  <c r="J550" i="12"/>
  <c r="J549" i="12"/>
  <c r="J548" i="12"/>
  <c r="I548" i="12"/>
  <c r="K548" i="12" s="1"/>
  <c r="J547" i="12"/>
  <c r="I547" i="12"/>
  <c r="J546" i="12"/>
  <c r="J545" i="12"/>
  <c r="J544" i="12"/>
  <c r="J543" i="12"/>
  <c r="N541" i="12"/>
  <c r="N540" i="12"/>
  <c r="N539" i="12"/>
  <c r="N538" i="12"/>
  <c r="N537" i="12"/>
  <c r="L537" i="12"/>
  <c r="N536" i="12"/>
  <c r="L536" i="12"/>
  <c r="O536" i="12" s="1"/>
  <c r="N535" i="12"/>
  <c r="L535" i="12"/>
  <c r="N534" i="12"/>
  <c r="L534" i="12"/>
  <c r="O534" i="12" s="1"/>
  <c r="N533" i="12"/>
  <c r="L533" i="12"/>
  <c r="J533" i="12"/>
  <c r="I533" i="12"/>
  <c r="J532" i="12"/>
  <c r="I532" i="12"/>
  <c r="J531" i="12"/>
  <c r="I531" i="12"/>
  <c r="J530" i="12"/>
  <c r="I530" i="12"/>
  <c r="J529" i="12"/>
  <c r="I529" i="12"/>
  <c r="J528" i="12"/>
  <c r="I528" i="12"/>
  <c r="J527" i="12"/>
  <c r="I527" i="12"/>
  <c r="J526" i="12"/>
  <c r="I526" i="12"/>
  <c r="J525" i="12"/>
  <c r="I525" i="12"/>
  <c r="J524" i="12"/>
  <c r="I524" i="12"/>
  <c r="J523" i="12"/>
  <c r="I523" i="12"/>
  <c r="J522" i="12"/>
  <c r="I522" i="12"/>
  <c r="J521" i="12"/>
  <c r="I521" i="12"/>
  <c r="J520" i="12"/>
  <c r="I520" i="12"/>
  <c r="J519" i="12"/>
  <c r="I519" i="12"/>
  <c r="J518" i="12"/>
  <c r="I518" i="12"/>
  <c r="J517" i="12"/>
  <c r="I517" i="12"/>
  <c r="J516" i="12"/>
  <c r="I516" i="12"/>
  <c r="J515" i="12"/>
  <c r="I515" i="12"/>
  <c r="J514" i="12"/>
  <c r="I514" i="12"/>
  <c r="K514" i="12" s="1"/>
  <c r="J513" i="12"/>
  <c r="I513" i="12"/>
  <c r="K513" i="12" s="1"/>
  <c r="J512" i="12"/>
  <c r="I512" i="12"/>
  <c r="K512" i="12" s="1"/>
  <c r="J511" i="12"/>
  <c r="I511" i="12"/>
  <c r="K511" i="12" s="1"/>
  <c r="J510" i="12"/>
  <c r="I510" i="12"/>
  <c r="K510" i="12" s="1"/>
  <c r="J509" i="12"/>
  <c r="I509" i="12"/>
  <c r="K509" i="12" s="1"/>
  <c r="J508" i="12"/>
  <c r="I508" i="12"/>
  <c r="K508" i="12" s="1"/>
  <c r="J507" i="12"/>
  <c r="I507" i="12"/>
  <c r="K507" i="12" s="1"/>
  <c r="J506" i="12"/>
  <c r="I506" i="12"/>
  <c r="K506" i="12" s="1"/>
  <c r="J505" i="12"/>
  <c r="I505" i="12"/>
  <c r="K505" i="12" s="1"/>
  <c r="J504" i="12"/>
  <c r="I504" i="12"/>
  <c r="K504" i="12" s="1"/>
  <c r="J503" i="12"/>
  <c r="I503" i="12"/>
  <c r="K503" i="12" s="1"/>
  <c r="J502" i="12"/>
  <c r="I502" i="12"/>
  <c r="K502" i="12" s="1"/>
  <c r="J501" i="12"/>
  <c r="I501" i="12"/>
  <c r="K501" i="12" s="1"/>
  <c r="J500" i="12"/>
  <c r="I500" i="12"/>
  <c r="K500" i="12" s="1"/>
  <c r="J499" i="12"/>
  <c r="I499" i="12"/>
  <c r="J498" i="12"/>
  <c r="I498" i="12"/>
  <c r="J497" i="12"/>
  <c r="I497" i="12"/>
  <c r="J496" i="12"/>
  <c r="I496" i="12"/>
  <c r="K496" i="12" s="1"/>
  <c r="J495" i="12"/>
  <c r="I495" i="12"/>
  <c r="K495" i="12" s="1"/>
  <c r="J494" i="12"/>
  <c r="I494" i="12"/>
  <c r="K494" i="12" s="1"/>
  <c r="J493" i="12"/>
  <c r="I493" i="12"/>
  <c r="K493" i="12" s="1"/>
  <c r="J492" i="12"/>
  <c r="I492" i="12"/>
  <c r="K492" i="12" s="1"/>
  <c r="J491" i="12"/>
  <c r="I491" i="12"/>
  <c r="K491" i="12" s="1"/>
  <c r="J490" i="12"/>
  <c r="I490" i="12"/>
  <c r="K490" i="12" s="1"/>
  <c r="J489" i="12"/>
  <c r="I489" i="12"/>
  <c r="K489" i="12" s="1"/>
  <c r="J488" i="12"/>
  <c r="I488" i="12"/>
  <c r="K488" i="12" s="1"/>
  <c r="J487" i="12"/>
  <c r="I487" i="12"/>
  <c r="K487" i="12" s="1"/>
  <c r="J486" i="12"/>
  <c r="I486" i="12"/>
  <c r="K486" i="12" s="1"/>
  <c r="J485" i="12"/>
  <c r="I485" i="12"/>
  <c r="K485" i="12" s="1"/>
  <c r="J484" i="12"/>
  <c r="I484" i="12"/>
  <c r="K484" i="12" s="1"/>
  <c r="J483" i="12"/>
  <c r="I483" i="12"/>
  <c r="K483" i="12" s="1"/>
  <c r="J482" i="12"/>
  <c r="I482" i="12"/>
  <c r="K482" i="12" s="1"/>
  <c r="J481" i="12"/>
  <c r="I481" i="12"/>
  <c r="K481" i="12" s="1"/>
  <c r="J480" i="12"/>
  <c r="I480" i="12"/>
  <c r="K480" i="12" s="1"/>
  <c r="J479" i="12"/>
  <c r="I479" i="12"/>
  <c r="K479" i="12" s="1"/>
  <c r="J478" i="12"/>
  <c r="I478" i="12"/>
  <c r="K478" i="12" s="1"/>
  <c r="J477" i="12"/>
  <c r="I477" i="12"/>
  <c r="K477" i="12" s="1"/>
  <c r="J476" i="12"/>
  <c r="I476" i="12"/>
  <c r="K476" i="12" s="1"/>
  <c r="J475" i="12"/>
  <c r="I475" i="12"/>
  <c r="K475" i="12" s="1"/>
  <c r="J474" i="12"/>
  <c r="I474" i="12"/>
  <c r="K474" i="12" s="1"/>
  <c r="J473" i="12"/>
  <c r="I473" i="12"/>
  <c r="K473" i="12" s="1"/>
  <c r="J472" i="12"/>
  <c r="I472" i="12"/>
  <c r="K472" i="12" s="1"/>
  <c r="J471" i="12"/>
  <c r="I471" i="12"/>
  <c r="K471" i="12" s="1"/>
  <c r="J470" i="12"/>
  <c r="I470" i="12"/>
  <c r="K470" i="12" s="1"/>
  <c r="J469" i="12"/>
  <c r="I469" i="12"/>
  <c r="K469" i="12" s="1"/>
  <c r="J468" i="12"/>
  <c r="I468" i="12"/>
  <c r="K468" i="12" s="1"/>
  <c r="J467" i="12"/>
  <c r="I467" i="12"/>
  <c r="K467" i="12" s="1"/>
  <c r="J466" i="12"/>
  <c r="I466" i="12"/>
  <c r="K466" i="12" s="1"/>
  <c r="J465" i="12"/>
  <c r="I465" i="12"/>
  <c r="K465" i="12" s="1"/>
  <c r="J464" i="12"/>
  <c r="I464" i="12"/>
  <c r="K464" i="12" s="1"/>
  <c r="N463" i="12"/>
  <c r="N462" i="12"/>
  <c r="N461" i="12"/>
  <c r="N460" i="12"/>
  <c r="N459" i="12"/>
  <c r="L459" i="12"/>
  <c r="N458" i="12"/>
  <c r="L458" i="12"/>
  <c r="O458" i="12" s="1"/>
  <c r="N457" i="12"/>
  <c r="L457" i="12"/>
  <c r="N456" i="12"/>
  <c r="L456" i="12"/>
  <c r="N455" i="12"/>
  <c r="L455" i="12"/>
  <c r="J455" i="12"/>
  <c r="I455" i="12"/>
  <c r="K455" i="12" s="1"/>
  <c r="J454" i="12"/>
  <c r="J453" i="12"/>
  <c r="J452" i="12"/>
  <c r="I452" i="12"/>
  <c r="K452" i="12" s="1"/>
  <c r="J451" i="12"/>
  <c r="I451" i="12"/>
  <c r="K451" i="12" s="1"/>
  <c r="J450" i="12"/>
  <c r="I450" i="12"/>
  <c r="J449" i="12"/>
  <c r="I449" i="12"/>
  <c r="J448" i="12"/>
  <c r="J447" i="12"/>
  <c r="J446" i="12"/>
  <c r="J445" i="12"/>
  <c r="N443" i="12"/>
  <c r="N442" i="12"/>
  <c r="N441" i="12"/>
  <c r="N440" i="12"/>
  <c r="N439" i="12"/>
  <c r="L439" i="12"/>
  <c r="N438" i="12"/>
  <c r="L438" i="12"/>
  <c r="O438" i="12" s="1"/>
  <c r="N437" i="12"/>
  <c r="L437" i="12"/>
  <c r="N436" i="12"/>
  <c r="L436" i="12"/>
  <c r="O436" i="12" s="1"/>
  <c r="N435" i="12"/>
  <c r="L435" i="12"/>
  <c r="J435" i="12"/>
  <c r="I435" i="12"/>
  <c r="J434" i="12"/>
  <c r="J433" i="12"/>
  <c r="J432" i="12"/>
  <c r="I432" i="12"/>
  <c r="J431" i="12"/>
  <c r="I431" i="12"/>
  <c r="J430" i="12"/>
  <c r="I430" i="12"/>
  <c r="J429" i="12"/>
  <c r="I429" i="12"/>
  <c r="J428" i="12"/>
  <c r="I428" i="12"/>
  <c r="J427" i="12"/>
  <c r="I427" i="12"/>
  <c r="J426" i="12"/>
  <c r="I426" i="12"/>
  <c r="J425" i="12"/>
  <c r="I425" i="12"/>
  <c r="J424" i="12"/>
  <c r="I424" i="12"/>
  <c r="J423" i="12"/>
  <c r="I423" i="12"/>
  <c r="J422" i="12"/>
  <c r="I422" i="12"/>
  <c r="J421" i="12"/>
  <c r="I421" i="12"/>
  <c r="J420" i="12"/>
  <c r="I420" i="12"/>
  <c r="J419" i="12"/>
  <c r="I419" i="12"/>
  <c r="J418" i="12"/>
  <c r="I418" i="12"/>
  <c r="J417" i="12"/>
  <c r="I417" i="12"/>
  <c r="J416" i="12"/>
  <c r="I416" i="12"/>
  <c r="J415" i="12"/>
  <c r="J414" i="12"/>
  <c r="J413" i="12"/>
  <c r="J412" i="12"/>
  <c r="N410" i="12"/>
  <c r="N409" i="12"/>
  <c r="N408" i="12"/>
  <c r="N407" i="12"/>
  <c r="N406" i="12"/>
  <c r="L406" i="12"/>
  <c r="N405" i="12"/>
  <c r="L405" i="12"/>
  <c r="O405" i="12" s="1"/>
  <c r="N404" i="12"/>
  <c r="L404" i="12"/>
  <c r="N403" i="12"/>
  <c r="L403" i="12"/>
  <c r="O403" i="12" s="1"/>
  <c r="J402" i="12"/>
  <c r="I402" i="12"/>
  <c r="N401" i="12"/>
  <c r="L401" i="12"/>
  <c r="J401" i="12"/>
  <c r="I401" i="12"/>
  <c r="J400" i="12"/>
  <c r="J399" i="12"/>
  <c r="J398" i="12"/>
  <c r="I398" i="12"/>
  <c r="J397" i="12"/>
  <c r="I397" i="12"/>
  <c r="J396" i="12"/>
  <c r="I396" i="12"/>
  <c r="J394" i="12"/>
  <c r="J393" i="12"/>
  <c r="J392" i="12"/>
  <c r="J391" i="12"/>
  <c r="N389" i="12"/>
  <c r="N388" i="12"/>
  <c r="N387" i="12"/>
  <c r="N386" i="12"/>
  <c r="N385" i="12"/>
  <c r="L385" i="12"/>
  <c r="N384" i="12"/>
  <c r="L384" i="12"/>
  <c r="N383" i="12"/>
  <c r="L383" i="12"/>
  <c r="N382" i="12"/>
  <c r="L382" i="12"/>
  <c r="O382" i="12" s="1"/>
  <c r="J381" i="12"/>
  <c r="I381" i="12"/>
  <c r="N380" i="12"/>
  <c r="L380" i="12"/>
  <c r="J380" i="12"/>
  <c r="I380" i="12"/>
  <c r="J379" i="12"/>
  <c r="J378" i="12"/>
  <c r="J377" i="12"/>
  <c r="I377" i="12"/>
  <c r="J376" i="12"/>
  <c r="I376" i="12"/>
  <c r="K376" i="12" s="1"/>
  <c r="J375" i="12"/>
  <c r="I375" i="12"/>
  <c r="J374" i="12"/>
  <c r="I374" i="12"/>
  <c r="J373" i="12"/>
  <c r="I373" i="12"/>
  <c r="K373" i="12" s="1"/>
  <c r="J372" i="12"/>
  <c r="I372" i="12"/>
  <c r="J371" i="12"/>
  <c r="I371" i="12"/>
  <c r="K371" i="12" s="1"/>
  <c r="J370" i="12"/>
  <c r="I370" i="12"/>
  <c r="J369" i="12"/>
  <c r="I369" i="12"/>
  <c r="J368" i="12"/>
  <c r="I368" i="12"/>
  <c r="J367" i="12"/>
  <c r="J366" i="12"/>
  <c r="J365" i="12"/>
  <c r="I365" i="12"/>
  <c r="K365" i="12" s="1"/>
  <c r="J364" i="12"/>
  <c r="J363" i="12"/>
  <c r="J362" i="12"/>
  <c r="J361" i="12"/>
  <c r="J360" i="12"/>
  <c r="N358" i="12"/>
  <c r="N357" i="12"/>
  <c r="N356" i="12"/>
  <c r="N355" i="12"/>
  <c r="N354" i="12"/>
  <c r="L354" i="12"/>
  <c r="N353" i="12"/>
  <c r="L353" i="12"/>
  <c r="O353" i="12" s="1"/>
  <c r="N352" i="12"/>
  <c r="L352" i="12"/>
  <c r="N351" i="12"/>
  <c r="L351" i="12"/>
  <c r="O351" i="12" s="1"/>
  <c r="J350" i="12"/>
  <c r="I350" i="12"/>
  <c r="N349" i="12"/>
  <c r="L349" i="12"/>
  <c r="J349" i="12"/>
  <c r="I349" i="12"/>
  <c r="N347" i="12"/>
  <c r="L347" i="12"/>
  <c r="J346" i="12"/>
  <c r="I346" i="12"/>
  <c r="K346" i="12" s="1"/>
  <c r="J345" i="12"/>
  <c r="I345" i="12"/>
  <c r="J344" i="12"/>
  <c r="I344" i="12"/>
  <c r="K344" i="12" s="1"/>
  <c r="J343" i="12"/>
  <c r="I343" i="12"/>
  <c r="J342" i="12"/>
  <c r="I342" i="12"/>
  <c r="K342" i="12" s="1"/>
  <c r="J341" i="12"/>
  <c r="I341" i="12"/>
  <c r="J340" i="12"/>
  <c r="I340" i="12"/>
  <c r="J339" i="12"/>
  <c r="I339" i="12"/>
  <c r="K339" i="12" s="1"/>
  <c r="N337" i="12"/>
  <c r="L337" i="12"/>
  <c r="O337" i="12" s="1"/>
  <c r="L335" i="12"/>
  <c r="L334" i="12"/>
  <c r="N333" i="12"/>
  <c r="M333" i="12"/>
  <c r="M331" i="12" s="1"/>
  <c r="O332" i="12"/>
  <c r="O330" i="12"/>
  <c r="N330" i="12"/>
  <c r="M330" i="12"/>
  <c r="P330" i="12" s="1"/>
  <c r="L330" i="12"/>
  <c r="J328" i="12"/>
  <c r="I328" i="12"/>
  <c r="J326" i="12"/>
  <c r="J325" i="12"/>
  <c r="J324" i="12"/>
  <c r="I324" i="12"/>
  <c r="K324" i="12" s="1"/>
  <c r="J323" i="12"/>
  <c r="J322" i="12"/>
  <c r="J321" i="12"/>
  <c r="J320" i="12"/>
  <c r="N318" i="12"/>
  <c r="L318" i="12"/>
  <c r="O318" i="12" s="1"/>
  <c r="L316" i="12"/>
  <c r="L315" i="12"/>
  <c r="N314" i="12"/>
  <c r="M314" i="12"/>
  <c r="P314" i="12" s="1"/>
  <c r="O313" i="12"/>
  <c r="N311" i="12"/>
  <c r="M311" i="12"/>
  <c r="P311" i="12" s="1"/>
  <c r="L311" i="12"/>
  <c r="J309" i="12"/>
  <c r="I309" i="12"/>
  <c r="K309" i="12" s="1"/>
  <c r="J308" i="12"/>
  <c r="J307" i="12"/>
  <c r="J306" i="12"/>
  <c r="I306" i="12"/>
  <c r="K306" i="12" s="1"/>
  <c r="J304" i="12"/>
  <c r="I304" i="12"/>
  <c r="K304" i="12" s="1"/>
  <c r="J303" i="12"/>
  <c r="J302" i="12"/>
  <c r="J301" i="12"/>
  <c r="J300" i="12"/>
  <c r="N298" i="12"/>
  <c r="L298" i="12"/>
  <c r="O298" i="12" s="1"/>
  <c r="L296" i="12"/>
  <c r="L295" i="12"/>
  <c r="N294" i="12"/>
  <c r="M294" i="12"/>
  <c r="P294" i="12" s="1"/>
  <c r="O293" i="12"/>
  <c r="N291" i="12"/>
  <c r="M291" i="12"/>
  <c r="L291" i="12"/>
  <c r="O291" i="12" s="1"/>
  <c r="J289" i="12"/>
  <c r="I289" i="12"/>
  <c r="K289" i="12" s="1"/>
  <c r="J287" i="12"/>
  <c r="J286" i="12"/>
  <c r="J285" i="12"/>
  <c r="I285" i="12"/>
  <c r="K285" i="12" s="1"/>
  <c r="J284" i="12"/>
  <c r="J283" i="12"/>
  <c r="J282" i="12"/>
  <c r="J281" i="12"/>
  <c r="N279" i="12"/>
  <c r="L279" i="12"/>
  <c r="O279" i="12" s="1"/>
  <c r="L277" i="12"/>
  <c r="L276" i="12"/>
  <c r="N275" i="12"/>
  <c r="M275" i="12"/>
  <c r="O274" i="12"/>
  <c r="N272" i="12"/>
  <c r="M272" i="12"/>
  <c r="P272" i="12" s="1"/>
  <c r="L272" i="12"/>
  <c r="O272" i="12" s="1"/>
  <c r="J270" i="12"/>
  <c r="I270" i="12"/>
  <c r="K270" i="12" s="1"/>
  <c r="J269" i="12"/>
  <c r="J268" i="12"/>
  <c r="J267" i="12"/>
  <c r="I267" i="12"/>
  <c r="K267" i="12" s="1"/>
  <c r="J266" i="12"/>
  <c r="I266" i="12"/>
  <c r="K266" i="12" s="1"/>
  <c r="J265" i="12"/>
  <c r="I265" i="12"/>
  <c r="K265" i="12" s="1"/>
  <c r="J264" i="12"/>
  <c r="I264" i="12"/>
  <c r="K264" i="12" s="1"/>
  <c r="J263" i="12"/>
  <c r="J262" i="12"/>
  <c r="J261" i="12"/>
  <c r="J260" i="12"/>
  <c r="N258" i="12"/>
  <c r="L258" i="12"/>
  <c r="O258" i="12" s="1"/>
  <c r="L256" i="12"/>
  <c r="L255" i="12"/>
  <c r="N254" i="12"/>
  <c r="M254" i="12"/>
  <c r="P254" i="12" s="1"/>
  <c r="O253" i="12"/>
  <c r="P251" i="12"/>
  <c r="N251" i="12"/>
  <c r="M251" i="12"/>
  <c r="L251" i="12"/>
  <c r="O251" i="12" s="1"/>
  <c r="J249" i="12"/>
  <c r="I249" i="12"/>
  <c r="K249" i="12" s="1"/>
  <c r="J246" i="12"/>
  <c r="J245" i="12"/>
  <c r="J244" i="12"/>
  <c r="I244" i="12"/>
  <c r="K244" i="12" s="1"/>
  <c r="J243" i="12"/>
  <c r="J242" i="12"/>
  <c r="J241" i="12"/>
  <c r="J240" i="12"/>
  <c r="J238" i="12"/>
  <c r="I238" i="12"/>
  <c r="K238" i="12" s="1"/>
  <c r="J237" i="12"/>
  <c r="J236" i="12"/>
  <c r="J235" i="12"/>
  <c r="I235" i="12"/>
  <c r="J234" i="12"/>
  <c r="J233" i="12"/>
  <c r="J232" i="12"/>
  <c r="J231" i="12"/>
  <c r="J229" i="12"/>
  <c r="I229" i="12"/>
  <c r="N228" i="12"/>
  <c r="L228" i="12"/>
  <c r="O228" i="12" s="1"/>
  <c r="L226" i="12"/>
  <c r="L225" i="12"/>
  <c r="N224" i="12"/>
  <c r="M224" i="12"/>
  <c r="O223" i="12"/>
  <c r="P221" i="12"/>
  <c r="O221" i="12"/>
  <c r="N221" i="12"/>
  <c r="M221" i="12"/>
  <c r="L221" i="12"/>
  <c r="J219" i="12"/>
  <c r="I219" i="12"/>
  <c r="J218" i="12"/>
  <c r="J217" i="12"/>
  <c r="J216" i="12"/>
  <c r="I216" i="12"/>
  <c r="K216" i="12" s="1"/>
  <c r="J215" i="12"/>
  <c r="I215" i="12"/>
  <c r="K215" i="12" s="1"/>
  <c r="J213" i="12"/>
  <c r="I213" i="12"/>
  <c r="K213" i="12" s="1"/>
  <c r="J212" i="12"/>
  <c r="J211" i="12"/>
  <c r="J210" i="12"/>
  <c r="J209" i="12"/>
  <c r="J204" i="12"/>
  <c r="I204" i="12"/>
  <c r="K204" i="12" s="1"/>
  <c r="J203" i="12"/>
  <c r="J202" i="12"/>
  <c r="J201" i="12"/>
  <c r="I201" i="12"/>
  <c r="K201" i="12" s="1"/>
  <c r="J200" i="12"/>
  <c r="I200" i="12"/>
  <c r="J199" i="12"/>
  <c r="I199" i="12"/>
  <c r="J197" i="12"/>
  <c r="J196" i="12"/>
  <c r="J195" i="12"/>
  <c r="J194" i="12"/>
  <c r="J189" i="12"/>
  <c r="I189" i="12"/>
  <c r="J188" i="12"/>
  <c r="J187" i="12"/>
  <c r="J186" i="12"/>
  <c r="I186" i="12"/>
  <c r="K186" i="12" s="1"/>
  <c r="J185" i="12"/>
  <c r="I185" i="12"/>
  <c r="K185" i="12" s="1"/>
  <c r="J184" i="12"/>
  <c r="J183" i="12"/>
  <c r="J182" i="12"/>
  <c r="J181" i="12"/>
  <c r="J176" i="12"/>
  <c r="I176" i="12"/>
  <c r="K176" i="12" s="1"/>
  <c r="J175" i="12"/>
  <c r="J174" i="12"/>
  <c r="J173" i="12"/>
  <c r="I173" i="12"/>
  <c r="J172" i="12"/>
  <c r="J171" i="12"/>
  <c r="J170" i="12"/>
  <c r="J169" i="12"/>
  <c r="J164" i="12"/>
  <c r="I164" i="12"/>
  <c r="J163" i="12"/>
  <c r="J162" i="12"/>
  <c r="J161" i="12"/>
  <c r="J160" i="12"/>
  <c r="J159" i="12"/>
  <c r="J158" i="12"/>
  <c r="I158" i="12"/>
  <c r="J157" i="12"/>
  <c r="J156" i="12"/>
  <c r="J155" i="12"/>
  <c r="J154" i="12"/>
  <c r="J149" i="12"/>
  <c r="I149" i="12"/>
  <c r="N148" i="12"/>
  <c r="L148" i="12"/>
  <c r="O148" i="12" s="1"/>
  <c r="L146" i="12"/>
  <c r="L145" i="12"/>
  <c r="N144" i="12"/>
  <c r="M144" i="12"/>
  <c r="M142" i="12" s="1"/>
  <c r="O143" i="12"/>
  <c r="P141" i="12"/>
  <c r="N141" i="12"/>
  <c r="M141" i="12"/>
  <c r="L141" i="12"/>
  <c r="O141" i="12" s="1"/>
  <c r="J138" i="12"/>
  <c r="I138" i="12"/>
  <c r="K138" i="12" s="1"/>
  <c r="J135" i="12"/>
  <c r="J134" i="12"/>
  <c r="J133" i="12"/>
  <c r="I133" i="12"/>
  <c r="K133" i="12" s="1"/>
  <c r="J132" i="12"/>
  <c r="I132" i="12"/>
  <c r="K132" i="12" s="1"/>
  <c r="J131" i="12"/>
  <c r="J130" i="12"/>
  <c r="J129" i="12"/>
  <c r="J128" i="12"/>
  <c r="N126" i="12"/>
  <c r="L126" i="12"/>
  <c r="O126" i="12" s="1"/>
  <c r="L124" i="12"/>
  <c r="L123" i="12"/>
  <c r="N122" i="12"/>
  <c r="M122" i="12"/>
  <c r="O121" i="12"/>
  <c r="N119" i="12"/>
  <c r="M119" i="12"/>
  <c r="P119" i="12" s="1"/>
  <c r="L119" i="12"/>
  <c r="O119" i="12" s="1"/>
  <c r="J117" i="12"/>
  <c r="I117" i="12"/>
  <c r="K117" i="12" s="1"/>
  <c r="J115" i="12"/>
  <c r="J114" i="12"/>
  <c r="J113" i="12"/>
  <c r="I113" i="12"/>
  <c r="J112" i="12"/>
  <c r="I112" i="12"/>
  <c r="J111" i="12"/>
  <c r="I111" i="12"/>
  <c r="J110" i="12"/>
  <c r="I110" i="12"/>
  <c r="J109" i="12"/>
  <c r="I109" i="12"/>
  <c r="J108" i="12"/>
  <c r="I108" i="12"/>
  <c r="J107" i="12"/>
  <c r="J106" i="12"/>
  <c r="J105" i="12"/>
  <c r="J104" i="12"/>
  <c r="N102" i="12"/>
  <c r="L102" i="12"/>
  <c r="M102" i="12" s="1"/>
  <c r="L100" i="12"/>
  <c r="L99" i="12"/>
  <c r="N98" i="12"/>
  <c r="M98" i="12"/>
  <c r="O97" i="12"/>
  <c r="P95" i="12"/>
  <c r="N95" i="12"/>
  <c r="M95" i="12"/>
  <c r="L95" i="12"/>
  <c r="O95" i="12" s="1"/>
  <c r="J93" i="12"/>
  <c r="I93" i="12"/>
  <c r="J92" i="12"/>
  <c r="I92" i="12"/>
  <c r="J90" i="12"/>
  <c r="J89" i="12"/>
  <c r="J88" i="12"/>
  <c r="I88" i="12"/>
  <c r="K88" i="12" s="1"/>
  <c r="J87" i="12"/>
  <c r="I87" i="12"/>
  <c r="K87" i="12" s="1"/>
  <c r="J86" i="12"/>
  <c r="I86" i="12"/>
  <c r="K86" i="12" s="1"/>
  <c r="J85" i="12"/>
  <c r="I85" i="12"/>
  <c r="K85" i="12" s="1"/>
  <c r="J84" i="12"/>
  <c r="I84" i="12"/>
  <c r="K84" i="12" s="1"/>
  <c r="J83" i="12"/>
  <c r="I83" i="12"/>
  <c r="K83" i="12" s="1"/>
  <c r="J82" i="12"/>
  <c r="I82" i="12"/>
  <c r="K82" i="12" s="1"/>
  <c r="J81" i="12"/>
  <c r="I81" i="12"/>
  <c r="K81" i="12" s="1"/>
  <c r="J80" i="12"/>
  <c r="I80" i="12"/>
  <c r="K80" i="12" s="1"/>
  <c r="J79" i="12"/>
  <c r="J78" i="12"/>
  <c r="J77" i="12"/>
  <c r="J76" i="12"/>
  <c r="N74" i="12"/>
  <c r="L74" i="12"/>
  <c r="O74" i="12" s="1"/>
  <c r="L72" i="12"/>
  <c r="L71" i="12"/>
  <c r="N70" i="12"/>
  <c r="M70" i="12"/>
  <c r="O69" i="12"/>
  <c r="N67" i="12"/>
  <c r="M67" i="12"/>
  <c r="P67" i="12" s="1"/>
  <c r="L67" i="12"/>
  <c r="O67" i="12" s="1"/>
  <c r="J65" i="12"/>
  <c r="I65" i="12"/>
  <c r="K65" i="12" s="1"/>
  <c r="J64" i="12"/>
  <c r="I64" i="12"/>
  <c r="K64" i="12" s="1"/>
  <c r="N61" i="12"/>
  <c r="L61" i="12"/>
  <c r="O61" i="12" s="1"/>
  <c r="L59" i="12"/>
  <c r="L58" i="12"/>
  <c r="N57" i="12"/>
  <c r="M57" i="12"/>
  <c r="M55" i="12" s="1"/>
  <c r="P54" i="12"/>
  <c r="N54" i="12"/>
  <c r="M54" i="12"/>
  <c r="L54" i="12"/>
  <c r="O54" i="12" s="1"/>
  <c r="N49" i="12"/>
  <c r="L49" i="12"/>
  <c r="L47" i="12"/>
  <c r="L46" i="12"/>
  <c r="N45" i="12"/>
  <c r="M45" i="12"/>
  <c r="N42" i="12"/>
  <c r="M42" i="12"/>
  <c r="L42" i="12"/>
  <c r="O42" i="12" s="1"/>
  <c r="P36" i="12"/>
  <c r="O36" i="12"/>
  <c r="P35" i="12"/>
  <c r="O35" i="12"/>
  <c r="P34" i="12"/>
  <c r="M34" i="12"/>
  <c r="M33" i="12"/>
  <c r="P32" i="12"/>
  <c r="M32" i="12"/>
  <c r="P31" i="12"/>
  <c r="M31" i="12"/>
  <c r="M29" i="12" s="1"/>
  <c r="M30" i="12"/>
  <c r="P30" i="12" s="1"/>
  <c r="P25" i="12"/>
  <c r="O25" i="12"/>
  <c r="N25" i="12"/>
  <c r="M25" i="12"/>
  <c r="L25" i="12"/>
  <c r="N24" i="12"/>
  <c r="M24" i="12"/>
  <c r="P23" i="12"/>
  <c r="N23" i="12"/>
  <c r="M23" i="12"/>
  <c r="N21" i="12"/>
  <c r="M21" i="12"/>
  <c r="P21" i="12" s="1"/>
  <c r="L21" i="12"/>
  <c r="N19" i="12"/>
  <c r="N15" i="12"/>
  <c r="M15" i="12"/>
  <c r="P15" i="12" s="1"/>
  <c r="L15" i="12"/>
  <c r="O15" i="12" s="1"/>
  <c r="J635" i="11"/>
  <c r="I635" i="11"/>
  <c r="J634" i="11"/>
  <c r="I634" i="11"/>
  <c r="J633" i="11"/>
  <c r="I633" i="11"/>
  <c r="J632" i="11"/>
  <c r="I632" i="11"/>
  <c r="J631" i="11"/>
  <c r="I631" i="11"/>
  <c r="J630" i="11"/>
  <c r="I630" i="11"/>
  <c r="J629" i="11"/>
  <c r="I629" i="11"/>
  <c r="J628" i="11"/>
  <c r="I628" i="11"/>
  <c r="J626" i="11"/>
  <c r="I626" i="11"/>
  <c r="J625" i="11"/>
  <c r="I625" i="11"/>
  <c r="J624" i="11"/>
  <c r="I624" i="11"/>
  <c r="J623" i="11"/>
  <c r="I623" i="11"/>
  <c r="J622" i="11"/>
  <c r="I622" i="11"/>
  <c r="J621" i="11"/>
  <c r="I621" i="11"/>
  <c r="J620" i="11"/>
  <c r="I620" i="11"/>
  <c r="K624" i="11" s="1"/>
  <c r="J619" i="11"/>
  <c r="I619" i="11"/>
  <c r="J618" i="11"/>
  <c r="I618" i="11"/>
  <c r="J617" i="11"/>
  <c r="I617" i="11"/>
  <c r="J616" i="11"/>
  <c r="I616" i="11"/>
  <c r="J615" i="11"/>
  <c r="I615" i="11"/>
  <c r="J614" i="11"/>
  <c r="I614" i="11"/>
  <c r="J613" i="11"/>
  <c r="I613" i="11"/>
  <c r="J612" i="11"/>
  <c r="I612" i="11"/>
  <c r="J611" i="11"/>
  <c r="I611" i="11"/>
  <c r="J610" i="11"/>
  <c r="J609" i="11"/>
  <c r="J608" i="11"/>
  <c r="J607" i="11"/>
  <c r="N605" i="11"/>
  <c r="N604" i="11"/>
  <c r="N603" i="11"/>
  <c r="N602" i="11"/>
  <c r="N601" i="11"/>
  <c r="L601" i="11"/>
  <c r="N600" i="11"/>
  <c r="L600" i="11"/>
  <c r="O600" i="11" s="1"/>
  <c r="N599" i="11"/>
  <c r="L599" i="11"/>
  <c r="N598" i="11"/>
  <c r="L598" i="11"/>
  <c r="O598" i="11" s="1"/>
  <c r="N597" i="11"/>
  <c r="L597" i="11"/>
  <c r="J597" i="11"/>
  <c r="I597" i="11"/>
  <c r="J596" i="11"/>
  <c r="I596" i="11"/>
  <c r="K596" i="11" s="1"/>
  <c r="J595" i="11"/>
  <c r="I595" i="11"/>
  <c r="K595" i="11" s="1"/>
  <c r="J594" i="11"/>
  <c r="I594" i="11"/>
  <c r="K594" i="11" s="1"/>
  <c r="J593" i="11"/>
  <c r="I593" i="11"/>
  <c r="K593" i="11" s="1"/>
  <c r="J592" i="11"/>
  <c r="I592" i="11"/>
  <c r="K592" i="11" s="1"/>
  <c r="J591" i="11"/>
  <c r="I591" i="11"/>
  <c r="K591" i="11" s="1"/>
  <c r="J590" i="11"/>
  <c r="I590" i="11"/>
  <c r="K590" i="11" s="1"/>
  <c r="J589" i="11"/>
  <c r="I589" i="11"/>
  <c r="K589" i="11" s="1"/>
  <c r="N588" i="11"/>
  <c r="N587" i="11"/>
  <c r="N586" i="11"/>
  <c r="N585" i="11"/>
  <c r="N584" i="11"/>
  <c r="L584" i="11"/>
  <c r="O584" i="11" s="1"/>
  <c r="N583" i="11"/>
  <c r="L583" i="11"/>
  <c r="O583" i="11" s="1"/>
  <c r="N582" i="11"/>
  <c r="L582" i="11"/>
  <c r="O582" i="11" s="1"/>
  <c r="N581" i="11"/>
  <c r="L581" i="11"/>
  <c r="O581" i="11" s="1"/>
  <c r="N580" i="11"/>
  <c r="L580" i="11"/>
  <c r="O580" i="11" s="1"/>
  <c r="J580" i="11"/>
  <c r="I580" i="11"/>
  <c r="K580" i="11" s="1"/>
  <c r="J579" i="11"/>
  <c r="I579" i="11"/>
  <c r="K579" i="11" s="1"/>
  <c r="J578" i="11"/>
  <c r="I578" i="11"/>
  <c r="K578" i="11" s="1"/>
  <c r="J577" i="11"/>
  <c r="I577" i="11"/>
  <c r="K577" i="11" s="1"/>
  <c r="J576" i="11"/>
  <c r="I576" i="11"/>
  <c r="K576" i="11" s="1"/>
  <c r="J575" i="11"/>
  <c r="I575" i="11"/>
  <c r="K575" i="11" s="1"/>
  <c r="J573" i="11"/>
  <c r="I573" i="11"/>
  <c r="N572" i="11"/>
  <c r="N571" i="11"/>
  <c r="N570" i="11"/>
  <c r="N569" i="11"/>
  <c r="N568" i="11"/>
  <c r="L568" i="11"/>
  <c r="N567" i="11"/>
  <c r="L567" i="11"/>
  <c r="O567" i="11" s="1"/>
  <c r="N566" i="11"/>
  <c r="L566" i="11"/>
  <c r="N565" i="11"/>
  <c r="L565" i="11"/>
  <c r="O565" i="11" s="1"/>
  <c r="N564" i="11"/>
  <c r="L564" i="11"/>
  <c r="J564" i="11"/>
  <c r="I564" i="11"/>
  <c r="J561" i="11"/>
  <c r="I561" i="11"/>
  <c r="K561" i="11" s="1"/>
  <c r="J560" i="11"/>
  <c r="I560" i="11"/>
  <c r="K560" i="11" s="1"/>
  <c r="N559" i="11"/>
  <c r="N558" i="11"/>
  <c r="N557" i="11"/>
  <c r="N556" i="11"/>
  <c r="N555" i="11"/>
  <c r="L555" i="11"/>
  <c r="O555" i="11" s="1"/>
  <c r="N554" i="11"/>
  <c r="L554" i="11"/>
  <c r="O554" i="11" s="1"/>
  <c r="N553" i="11"/>
  <c r="L553" i="11"/>
  <c r="O553" i="11" s="1"/>
  <c r="N552" i="11"/>
  <c r="L552" i="11"/>
  <c r="O552" i="11" s="1"/>
  <c r="N551" i="11"/>
  <c r="L551" i="11"/>
  <c r="O551" i="11" s="1"/>
  <c r="J551" i="11"/>
  <c r="I551" i="11"/>
  <c r="K551" i="11" s="1"/>
  <c r="J550" i="11"/>
  <c r="J549" i="11"/>
  <c r="J548" i="11"/>
  <c r="I548" i="11"/>
  <c r="K548" i="11" s="1"/>
  <c r="J547" i="11"/>
  <c r="I547" i="11"/>
  <c r="J546" i="11"/>
  <c r="J545" i="11"/>
  <c r="J544" i="11"/>
  <c r="J543" i="11"/>
  <c r="N541" i="11"/>
  <c r="N540" i="11"/>
  <c r="N539" i="11"/>
  <c r="N538" i="11"/>
  <c r="N537" i="11"/>
  <c r="L537" i="11"/>
  <c r="N536" i="11"/>
  <c r="L536" i="11"/>
  <c r="O536" i="11" s="1"/>
  <c r="N535" i="11"/>
  <c r="L535" i="11"/>
  <c r="N534" i="11"/>
  <c r="L534" i="11"/>
  <c r="O534" i="11" s="1"/>
  <c r="N533" i="11"/>
  <c r="L533" i="11"/>
  <c r="J533" i="11"/>
  <c r="I533" i="11"/>
  <c r="J532" i="11"/>
  <c r="I532" i="11"/>
  <c r="J531" i="11"/>
  <c r="I531" i="11"/>
  <c r="J530" i="11"/>
  <c r="I530" i="11"/>
  <c r="J529" i="11"/>
  <c r="I529" i="11"/>
  <c r="J528" i="11"/>
  <c r="I528" i="11"/>
  <c r="J527" i="11"/>
  <c r="I527" i="11"/>
  <c r="J526" i="11"/>
  <c r="I526" i="11"/>
  <c r="J525" i="11"/>
  <c r="I525" i="11"/>
  <c r="J524" i="11"/>
  <c r="I524" i="11"/>
  <c r="J523" i="11"/>
  <c r="I523" i="11"/>
  <c r="J522" i="11"/>
  <c r="I522" i="11"/>
  <c r="J521" i="11"/>
  <c r="I521" i="11"/>
  <c r="J520" i="11"/>
  <c r="I520" i="11"/>
  <c r="J519" i="11"/>
  <c r="I519" i="11"/>
  <c r="J518" i="11"/>
  <c r="I518" i="11"/>
  <c r="J517" i="11"/>
  <c r="I517" i="11"/>
  <c r="J516" i="11"/>
  <c r="I516" i="11"/>
  <c r="J515" i="11"/>
  <c r="I515" i="11"/>
  <c r="K515" i="11" s="1"/>
  <c r="J514" i="11"/>
  <c r="I514" i="11"/>
  <c r="K514" i="11" s="1"/>
  <c r="J513" i="11"/>
  <c r="I513" i="11"/>
  <c r="K513" i="11" s="1"/>
  <c r="J512" i="11"/>
  <c r="I512" i="11"/>
  <c r="K512" i="11" s="1"/>
  <c r="J511" i="11"/>
  <c r="I511" i="11"/>
  <c r="K511" i="11" s="1"/>
  <c r="J510" i="11"/>
  <c r="I510" i="11"/>
  <c r="K510" i="11" s="1"/>
  <c r="J509" i="11"/>
  <c r="I509" i="11"/>
  <c r="K509" i="11" s="1"/>
  <c r="J508" i="11"/>
  <c r="I508" i="11"/>
  <c r="K508" i="11" s="1"/>
  <c r="J507" i="11"/>
  <c r="I507" i="11"/>
  <c r="K507" i="11" s="1"/>
  <c r="J506" i="11"/>
  <c r="I506" i="11"/>
  <c r="K506" i="11" s="1"/>
  <c r="J505" i="11"/>
  <c r="I505" i="11"/>
  <c r="K505" i="11" s="1"/>
  <c r="J504" i="11"/>
  <c r="I504" i="11"/>
  <c r="K504" i="11" s="1"/>
  <c r="J503" i="11"/>
  <c r="I503" i="11"/>
  <c r="K503" i="11" s="1"/>
  <c r="J502" i="11"/>
  <c r="I502" i="11"/>
  <c r="K502" i="11" s="1"/>
  <c r="J501" i="11"/>
  <c r="I501" i="11"/>
  <c r="K501" i="11" s="1"/>
  <c r="J500" i="11"/>
  <c r="I500" i="11"/>
  <c r="K500" i="11" s="1"/>
  <c r="J499" i="11"/>
  <c r="I499" i="11"/>
  <c r="K499" i="11" s="1"/>
  <c r="J498" i="11"/>
  <c r="I498" i="11"/>
  <c r="K498" i="11" s="1"/>
  <c r="J497" i="11"/>
  <c r="I497" i="11"/>
  <c r="K497" i="11" s="1"/>
  <c r="J496" i="11"/>
  <c r="I496" i="11"/>
  <c r="K496" i="11" s="1"/>
  <c r="J495" i="11"/>
  <c r="I495" i="11"/>
  <c r="K495" i="11" s="1"/>
  <c r="J494" i="11"/>
  <c r="I494" i="11"/>
  <c r="K494" i="11" s="1"/>
  <c r="J493" i="11"/>
  <c r="I493" i="11"/>
  <c r="K493" i="11" s="1"/>
  <c r="J492" i="11"/>
  <c r="I492" i="11"/>
  <c r="K492" i="11" s="1"/>
  <c r="J491" i="11"/>
  <c r="I491" i="11"/>
  <c r="K491" i="11" s="1"/>
  <c r="J490" i="11"/>
  <c r="I490" i="11"/>
  <c r="K490" i="11" s="1"/>
  <c r="J489" i="11"/>
  <c r="I489" i="11"/>
  <c r="K489" i="11" s="1"/>
  <c r="J488" i="11"/>
  <c r="I488" i="11"/>
  <c r="K488" i="11" s="1"/>
  <c r="J487" i="11"/>
  <c r="I487" i="11"/>
  <c r="K487" i="11" s="1"/>
  <c r="J486" i="11"/>
  <c r="I486" i="11"/>
  <c r="K486" i="11" s="1"/>
  <c r="J485" i="11"/>
  <c r="I485" i="11"/>
  <c r="K485" i="11" s="1"/>
  <c r="J484" i="11"/>
  <c r="I484" i="11"/>
  <c r="K484" i="11" s="1"/>
  <c r="J483" i="11"/>
  <c r="I483" i="11"/>
  <c r="K483" i="11" s="1"/>
  <c r="J482" i="11"/>
  <c r="I482" i="11"/>
  <c r="J481" i="11"/>
  <c r="I481" i="11"/>
  <c r="J480" i="11"/>
  <c r="I480" i="11"/>
  <c r="K480" i="11" s="1"/>
  <c r="J479" i="11"/>
  <c r="I479" i="11"/>
  <c r="K479" i="11" s="1"/>
  <c r="J478" i="11"/>
  <c r="I478" i="11"/>
  <c r="K478" i="11" s="1"/>
  <c r="J477" i="11"/>
  <c r="I477" i="11"/>
  <c r="K477" i="11" s="1"/>
  <c r="J476" i="11"/>
  <c r="I476" i="11"/>
  <c r="K476" i="11" s="1"/>
  <c r="J475" i="11"/>
  <c r="I475" i="11"/>
  <c r="K475" i="11" s="1"/>
  <c r="J474" i="11"/>
  <c r="I474" i="11"/>
  <c r="J473" i="11"/>
  <c r="I473" i="11"/>
  <c r="J472" i="11"/>
  <c r="I472" i="11"/>
  <c r="K472" i="11" s="1"/>
  <c r="J471" i="11"/>
  <c r="I471" i="11"/>
  <c r="K471" i="11" s="1"/>
  <c r="J470" i="11"/>
  <c r="I470" i="11"/>
  <c r="K470" i="11" s="1"/>
  <c r="J469" i="11"/>
  <c r="I469" i="11"/>
  <c r="K469" i="11" s="1"/>
  <c r="J468" i="11"/>
  <c r="I468" i="11"/>
  <c r="K468" i="11" s="1"/>
  <c r="J467" i="11"/>
  <c r="I467" i="11"/>
  <c r="K467" i="11" s="1"/>
  <c r="J466" i="11"/>
  <c r="I466" i="11"/>
  <c r="J465" i="11"/>
  <c r="I465" i="11"/>
  <c r="J464" i="11"/>
  <c r="I464" i="11"/>
  <c r="N463" i="11"/>
  <c r="N462" i="11"/>
  <c r="N461" i="11"/>
  <c r="N460" i="11"/>
  <c r="N459" i="11"/>
  <c r="L459" i="11"/>
  <c r="N458" i="11"/>
  <c r="L458" i="11"/>
  <c r="O458" i="11" s="1"/>
  <c r="N457" i="11"/>
  <c r="L457" i="11"/>
  <c r="N456" i="11"/>
  <c r="L456" i="11"/>
  <c r="O456" i="11" s="1"/>
  <c r="N455" i="11"/>
  <c r="L455" i="11"/>
  <c r="J455" i="11"/>
  <c r="I455" i="11"/>
  <c r="J454" i="11"/>
  <c r="J453" i="11"/>
  <c r="J452" i="11"/>
  <c r="I452" i="11"/>
  <c r="K452" i="11" s="1"/>
  <c r="J451" i="11"/>
  <c r="I451" i="11"/>
  <c r="K451" i="11" s="1"/>
  <c r="J450" i="11"/>
  <c r="I450" i="11"/>
  <c r="J449" i="11"/>
  <c r="I449" i="11"/>
  <c r="J448" i="11"/>
  <c r="J447" i="11"/>
  <c r="J446" i="11"/>
  <c r="J445" i="11"/>
  <c r="N443" i="11"/>
  <c r="N442" i="11"/>
  <c r="N441" i="11"/>
  <c r="N440" i="11"/>
  <c r="N439" i="11"/>
  <c r="L439" i="11"/>
  <c r="N438" i="11"/>
  <c r="L438" i="11"/>
  <c r="O438" i="11" s="1"/>
  <c r="N437" i="11"/>
  <c r="L437" i="11"/>
  <c r="N436" i="11"/>
  <c r="L436" i="11"/>
  <c r="O436" i="11" s="1"/>
  <c r="N435" i="11"/>
  <c r="L435" i="11"/>
  <c r="J435" i="11"/>
  <c r="I435" i="11"/>
  <c r="J434" i="11"/>
  <c r="J433" i="11"/>
  <c r="J432" i="11"/>
  <c r="I432" i="11"/>
  <c r="J431" i="11"/>
  <c r="I431" i="11"/>
  <c r="J430" i="11"/>
  <c r="I430" i="11"/>
  <c r="J429" i="11"/>
  <c r="I429" i="11"/>
  <c r="J428" i="11"/>
  <c r="I428" i="11"/>
  <c r="J427" i="11"/>
  <c r="I427" i="11"/>
  <c r="J426" i="11"/>
  <c r="I426" i="11"/>
  <c r="J425" i="11"/>
  <c r="I425" i="11"/>
  <c r="J424" i="11"/>
  <c r="I424" i="11"/>
  <c r="J423" i="11"/>
  <c r="I423" i="11"/>
  <c r="J422" i="11"/>
  <c r="I422" i="11"/>
  <c r="J421" i="11"/>
  <c r="I421" i="11"/>
  <c r="J420" i="11"/>
  <c r="I420" i="11"/>
  <c r="J419" i="11"/>
  <c r="I419" i="11"/>
  <c r="J418" i="11"/>
  <c r="I418" i="11"/>
  <c r="J417" i="11"/>
  <c r="I417" i="11"/>
  <c r="J416" i="11"/>
  <c r="I416" i="11"/>
  <c r="J415" i="11"/>
  <c r="J414" i="11"/>
  <c r="J413" i="11"/>
  <c r="J412" i="11"/>
  <c r="N410" i="11"/>
  <c r="N409" i="11"/>
  <c r="N408" i="11"/>
  <c r="N407" i="11"/>
  <c r="N406" i="11"/>
  <c r="L406" i="11"/>
  <c r="N405" i="11"/>
  <c r="L405" i="11"/>
  <c r="O405" i="11" s="1"/>
  <c r="N404" i="11"/>
  <c r="L404" i="11"/>
  <c r="N403" i="11"/>
  <c r="L403" i="11"/>
  <c r="O403" i="11" s="1"/>
  <c r="J402" i="11"/>
  <c r="I402" i="11"/>
  <c r="N401" i="11"/>
  <c r="L401" i="11"/>
  <c r="J401" i="11"/>
  <c r="I401" i="11"/>
  <c r="J400" i="11"/>
  <c r="J399" i="11"/>
  <c r="J398" i="11"/>
  <c r="I398" i="11"/>
  <c r="J397" i="11"/>
  <c r="I397" i="11"/>
  <c r="J396" i="11"/>
  <c r="I396" i="11"/>
  <c r="J394" i="11"/>
  <c r="J393" i="11"/>
  <c r="J392" i="11"/>
  <c r="J391" i="11"/>
  <c r="N389" i="11"/>
  <c r="N388" i="11"/>
  <c r="N387" i="11"/>
  <c r="N386" i="11"/>
  <c r="N385" i="11"/>
  <c r="L385" i="11"/>
  <c r="N384" i="11"/>
  <c r="L384" i="11"/>
  <c r="O384" i="11" s="1"/>
  <c r="N383" i="11"/>
  <c r="L383" i="11"/>
  <c r="N382" i="11"/>
  <c r="L382" i="11"/>
  <c r="O382" i="11" s="1"/>
  <c r="J381" i="11"/>
  <c r="I381" i="11"/>
  <c r="N380" i="11"/>
  <c r="L380" i="11"/>
  <c r="J380" i="11"/>
  <c r="I380" i="11"/>
  <c r="J379" i="11"/>
  <c r="J378" i="11"/>
  <c r="J377" i="11"/>
  <c r="I377" i="11"/>
  <c r="K377" i="11" s="1"/>
  <c r="J376" i="11"/>
  <c r="I376" i="11"/>
  <c r="K376" i="11" s="1"/>
  <c r="J375" i="11"/>
  <c r="I375" i="11"/>
  <c r="K375" i="11" s="1"/>
  <c r="J374" i="11"/>
  <c r="I374" i="11"/>
  <c r="J373" i="11"/>
  <c r="I373" i="11"/>
  <c r="K373" i="11" s="1"/>
  <c r="J372" i="11"/>
  <c r="I372" i="11"/>
  <c r="K372" i="11" s="1"/>
  <c r="J371" i="11"/>
  <c r="I371" i="11"/>
  <c r="K371" i="11" s="1"/>
  <c r="J370" i="11"/>
  <c r="I370" i="11"/>
  <c r="K370" i="11" s="1"/>
  <c r="J369" i="11"/>
  <c r="I369" i="11"/>
  <c r="K369" i="11" s="1"/>
  <c r="J368" i="11"/>
  <c r="I368" i="11"/>
  <c r="K368" i="11" s="1"/>
  <c r="J367" i="11"/>
  <c r="J366" i="11"/>
  <c r="J365" i="11"/>
  <c r="I365" i="11"/>
  <c r="K365" i="11" s="1"/>
  <c r="J364" i="11"/>
  <c r="J363" i="11"/>
  <c r="J362" i="11"/>
  <c r="J361" i="11"/>
  <c r="J360" i="11"/>
  <c r="N358" i="11"/>
  <c r="N357" i="11"/>
  <c r="N356" i="11"/>
  <c r="N355" i="11"/>
  <c r="N354" i="11"/>
  <c r="L354" i="11"/>
  <c r="N353" i="11"/>
  <c r="L353" i="11"/>
  <c r="O353" i="11" s="1"/>
  <c r="N352" i="11"/>
  <c r="L352" i="11"/>
  <c r="O352" i="11" s="1"/>
  <c r="N351" i="11"/>
  <c r="L351" i="11"/>
  <c r="J350" i="11"/>
  <c r="I350" i="11"/>
  <c r="K350" i="11" s="1"/>
  <c r="N349" i="11"/>
  <c r="L349" i="11"/>
  <c r="O349" i="11" s="1"/>
  <c r="J349" i="11"/>
  <c r="I349" i="11"/>
  <c r="K349" i="11" s="1"/>
  <c r="N347" i="11"/>
  <c r="L347" i="11"/>
  <c r="J346" i="11"/>
  <c r="I346" i="11"/>
  <c r="K346" i="11" s="1"/>
  <c r="J345" i="11"/>
  <c r="I345" i="11"/>
  <c r="J344" i="11"/>
  <c r="I344" i="11"/>
  <c r="K344" i="11" s="1"/>
  <c r="J343" i="11"/>
  <c r="I343" i="11"/>
  <c r="J342" i="11"/>
  <c r="I342" i="11"/>
  <c r="K342" i="11" s="1"/>
  <c r="J341" i="11"/>
  <c r="I341" i="11"/>
  <c r="J340" i="11"/>
  <c r="I340" i="11"/>
  <c r="J339" i="11"/>
  <c r="I339" i="11"/>
  <c r="K339" i="11" s="1"/>
  <c r="N337" i="11"/>
  <c r="L337" i="11"/>
  <c r="L335" i="11"/>
  <c r="L334" i="11"/>
  <c r="N333" i="11"/>
  <c r="M333" i="11"/>
  <c r="O332" i="11"/>
  <c r="P330" i="11"/>
  <c r="O330" i="11"/>
  <c r="N330" i="11"/>
  <c r="M330" i="11"/>
  <c r="L330" i="11"/>
  <c r="J328" i="11"/>
  <c r="I328" i="11"/>
  <c r="J326" i="11"/>
  <c r="J325" i="11"/>
  <c r="J324" i="11"/>
  <c r="I324" i="11"/>
  <c r="K324" i="11" s="1"/>
  <c r="J323" i="11"/>
  <c r="J322" i="11"/>
  <c r="J321" i="11"/>
  <c r="J320" i="11"/>
  <c r="N318" i="11"/>
  <c r="L318" i="11"/>
  <c r="O318" i="11" s="1"/>
  <c r="L316" i="11"/>
  <c r="L315" i="11"/>
  <c r="N314" i="11"/>
  <c r="M314" i="11"/>
  <c r="P314" i="11" s="1"/>
  <c r="O313" i="11"/>
  <c r="O311" i="11"/>
  <c r="N311" i="11"/>
  <c r="M311" i="11"/>
  <c r="L311" i="11"/>
  <c r="J309" i="11"/>
  <c r="I309" i="11"/>
  <c r="K309" i="11" s="1"/>
  <c r="J308" i="11"/>
  <c r="J307" i="11"/>
  <c r="J306" i="11"/>
  <c r="I306" i="11"/>
  <c r="K306" i="11" s="1"/>
  <c r="J304" i="11"/>
  <c r="I304" i="11"/>
  <c r="K304" i="11" s="1"/>
  <c r="J303" i="11"/>
  <c r="J302" i="11"/>
  <c r="J301" i="11"/>
  <c r="J300" i="11"/>
  <c r="N298" i="11"/>
  <c r="L298" i="11"/>
  <c r="L296" i="11"/>
  <c r="L295" i="11"/>
  <c r="N294" i="11"/>
  <c r="M294" i="11"/>
  <c r="P294" i="11" s="1"/>
  <c r="O293" i="11"/>
  <c r="P291" i="11"/>
  <c r="O291" i="11"/>
  <c r="N291" i="11"/>
  <c r="M291" i="11"/>
  <c r="L291" i="11"/>
  <c r="J289" i="11"/>
  <c r="I289" i="11"/>
  <c r="K289" i="11" s="1"/>
  <c r="J287" i="11"/>
  <c r="J286" i="11"/>
  <c r="J285" i="11"/>
  <c r="I285" i="11"/>
  <c r="K285" i="11" s="1"/>
  <c r="J284" i="11"/>
  <c r="J283" i="11"/>
  <c r="J282" i="11"/>
  <c r="J281" i="11"/>
  <c r="N279" i="11"/>
  <c r="L279" i="11"/>
  <c r="O279" i="11" s="1"/>
  <c r="L277" i="11"/>
  <c r="L276" i="11"/>
  <c r="N275" i="11"/>
  <c r="M275" i="11"/>
  <c r="P275" i="11" s="1"/>
  <c r="O274" i="11"/>
  <c r="N272" i="11"/>
  <c r="M272" i="11"/>
  <c r="P272" i="11" s="1"/>
  <c r="L272" i="11"/>
  <c r="J270" i="11"/>
  <c r="I270" i="11"/>
  <c r="K270" i="11" s="1"/>
  <c r="J269" i="11"/>
  <c r="J268" i="11"/>
  <c r="J267" i="11"/>
  <c r="I267" i="11"/>
  <c r="K267" i="11" s="1"/>
  <c r="J266" i="11"/>
  <c r="I266" i="11"/>
  <c r="K266" i="11" s="1"/>
  <c r="J265" i="11"/>
  <c r="I265" i="11"/>
  <c r="K265" i="11" s="1"/>
  <c r="J264" i="11"/>
  <c r="I264" i="11"/>
  <c r="K264" i="11" s="1"/>
  <c r="J263" i="11"/>
  <c r="J262" i="11"/>
  <c r="J261" i="11"/>
  <c r="J260" i="11"/>
  <c r="N258" i="11"/>
  <c r="L258" i="11"/>
  <c r="O258" i="11" s="1"/>
  <c r="L256" i="11"/>
  <c r="L255" i="11"/>
  <c r="N254" i="11"/>
  <c r="M254" i="11"/>
  <c r="M252" i="11" s="1"/>
  <c r="P252" i="11" s="1"/>
  <c r="O253" i="11"/>
  <c r="N251" i="11"/>
  <c r="M251" i="11"/>
  <c r="P251" i="11" s="1"/>
  <c r="L251" i="11"/>
  <c r="O251" i="11" s="1"/>
  <c r="J249" i="11"/>
  <c r="I249" i="11"/>
  <c r="K249" i="11" s="1"/>
  <c r="J246" i="11"/>
  <c r="J245" i="11"/>
  <c r="J244" i="11"/>
  <c r="I244" i="11"/>
  <c r="K244" i="11" s="1"/>
  <c r="J243" i="11"/>
  <c r="J242" i="11"/>
  <c r="J241" i="11"/>
  <c r="J240" i="11"/>
  <c r="J238" i="11"/>
  <c r="I238" i="11"/>
  <c r="K238" i="11" s="1"/>
  <c r="J237" i="11"/>
  <c r="J236" i="11"/>
  <c r="J235" i="11"/>
  <c r="I235" i="11"/>
  <c r="J234" i="11"/>
  <c r="J233" i="11"/>
  <c r="J232" i="11"/>
  <c r="J231" i="11"/>
  <c r="J229" i="11"/>
  <c r="I229" i="11"/>
  <c r="N228" i="11"/>
  <c r="L228" i="11"/>
  <c r="O228" i="11" s="1"/>
  <c r="L226" i="11"/>
  <c r="L225" i="11"/>
  <c r="N224" i="11"/>
  <c r="M224" i="11"/>
  <c r="O223" i="11"/>
  <c r="P221" i="11"/>
  <c r="N221" i="11"/>
  <c r="M221" i="11"/>
  <c r="L221" i="11"/>
  <c r="O221" i="11" s="1"/>
  <c r="J219" i="11"/>
  <c r="I219" i="11"/>
  <c r="J218" i="11"/>
  <c r="J217" i="11"/>
  <c r="J216" i="11"/>
  <c r="I216" i="11"/>
  <c r="K216" i="11" s="1"/>
  <c r="J215" i="11"/>
  <c r="I215" i="11"/>
  <c r="K215" i="11" s="1"/>
  <c r="J213" i="11"/>
  <c r="I213" i="11"/>
  <c r="K213" i="11" s="1"/>
  <c r="J212" i="11"/>
  <c r="J211" i="11"/>
  <c r="J210" i="11"/>
  <c r="J209" i="11"/>
  <c r="J204" i="11"/>
  <c r="I204" i="11"/>
  <c r="K204" i="11" s="1"/>
  <c r="J203" i="11"/>
  <c r="J202" i="11"/>
  <c r="J201" i="11"/>
  <c r="I201" i="11"/>
  <c r="K201" i="11" s="1"/>
  <c r="J200" i="11"/>
  <c r="I200" i="11"/>
  <c r="J199" i="11"/>
  <c r="I199" i="11"/>
  <c r="J197" i="11"/>
  <c r="J196" i="11"/>
  <c r="J195" i="11"/>
  <c r="J194" i="11"/>
  <c r="J189" i="11"/>
  <c r="I189" i="11"/>
  <c r="J188" i="11"/>
  <c r="J187" i="11"/>
  <c r="J186" i="11"/>
  <c r="I186" i="11"/>
  <c r="K186" i="11" s="1"/>
  <c r="J185" i="11"/>
  <c r="I185" i="11"/>
  <c r="K185" i="11" s="1"/>
  <c r="J184" i="11"/>
  <c r="J183" i="11"/>
  <c r="J182" i="11"/>
  <c r="J181" i="11"/>
  <c r="J176" i="11"/>
  <c r="I176" i="11"/>
  <c r="K176" i="11" s="1"/>
  <c r="J175" i="11"/>
  <c r="J174" i="11"/>
  <c r="J173" i="11"/>
  <c r="I173" i="11"/>
  <c r="J172" i="11"/>
  <c r="J171" i="11"/>
  <c r="J170" i="11"/>
  <c r="J169" i="11"/>
  <c r="J164" i="11"/>
  <c r="I164" i="11"/>
  <c r="J163" i="11"/>
  <c r="J162" i="11"/>
  <c r="J161" i="11"/>
  <c r="J160" i="11"/>
  <c r="J159" i="11"/>
  <c r="J158" i="11"/>
  <c r="I158" i="11"/>
  <c r="J157" i="11"/>
  <c r="J156" i="11"/>
  <c r="J155" i="11"/>
  <c r="J154" i="11"/>
  <c r="J149" i="11"/>
  <c r="I149" i="11"/>
  <c r="N148" i="11"/>
  <c r="L148" i="11"/>
  <c r="O148" i="11" s="1"/>
  <c r="L146" i="11"/>
  <c r="L145" i="11"/>
  <c r="N144" i="11"/>
  <c r="M144" i="11"/>
  <c r="M142" i="11" s="1"/>
  <c r="O143" i="11"/>
  <c r="N141" i="11"/>
  <c r="M141" i="11"/>
  <c r="P141" i="11" s="1"/>
  <c r="L141" i="11"/>
  <c r="O141" i="11" s="1"/>
  <c r="J138" i="11"/>
  <c r="I138" i="11"/>
  <c r="K138" i="11" s="1"/>
  <c r="J135" i="11"/>
  <c r="J134" i="11"/>
  <c r="J133" i="11"/>
  <c r="I133" i="11"/>
  <c r="K133" i="11" s="1"/>
  <c r="J132" i="11"/>
  <c r="I132" i="11"/>
  <c r="K132" i="11" s="1"/>
  <c r="J131" i="11"/>
  <c r="J130" i="11"/>
  <c r="J129" i="11"/>
  <c r="J128" i="11"/>
  <c r="N126" i="11"/>
  <c r="L126" i="11"/>
  <c r="O126" i="11" s="1"/>
  <c r="L124" i="11"/>
  <c r="L123" i="11"/>
  <c r="N122" i="11"/>
  <c r="M122" i="11"/>
  <c r="O121" i="11"/>
  <c r="N119" i="11"/>
  <c r="M119" i="11"/>
  <c r="P119" i="11" s="1"/>
  <c r="L119" i="11"/>
  <c r="J117" i="11"/>
  <c r="I117" i="11"/>
  <c r="K117" i="11" s="1"/>
  <c r="J115" i="11"/>
  <c r="J114" i="11"/>
  <c r="J113" i="11"/>
  <c r="I113" i="11"/>
  <c r="K113" i="11" s="1"/>
  <c r="J112" i="11"/>
  <c r="I112" i="11"/>
  <c r="K112" i="11" s="1"/>
  <c r="J111" i="11"/>
  <c r="I111" i="11"/>
  <c r="K111" i="11" s="1"/>
  <c r="J110" i="11"/>
  <c r="I110" i="11"/>
  <c r="K110" i="11" s="1"/>
  <c r="J109" i="11"/>
  <c r="I109" i="11"/>
  <c r="K109" i="11" s="1"/>
  <c r="J108" i="11"/>
  <c r="I108" i="11"/>
  <c r="K108" i="11" s="1"/>
  <c r="J107" i="11"/>
  <c r="J106" i="11"/>
  <c r="J105" i="11"/>
  <c r="J104" i="11"/>
  <c r="N102" i="11"/>
  <c r="L102" i="11"/>
  <c r="O102" i="11" s="1"/>
  <c r="L100" i="11"/>
  <c r="L99" i="11"/>
  <c r="N98" i="11"/>
  <c r="M98" i="11"/>
  <c r="O97" i="11"/>
  <c r="O95" i="11"/>
  <c r="N95" i="11"/>
  <c r="M95" i="11"/>
  <c r="P95" i="11" s="1"/>
  <c r="L95" i="11"/>
  <c r="J93" i="11"/>
  <c r="I93" i="11"/>
  <c r="K93" i="11" s="1"/>
  <c r="J92" i="11"/>
  <c r="I92" i="11"/>
  <c r="K92" i="11" s="1"/>
  <c r="J90" i="11"/>
  <c r="J89" i="11"/>
  <c r="J88" i="11"/>
  <c r="I88" i="11"/>
  <c r="K88" i="11" s="1"/>
  <c r="J87" i="11"/>
  <c r="I87" i="11"/>
  <c r="K87" i="11" s="1"/>
  <c r="J86" i="11"/>
  <c r="I86" i="11"/>
  <c r="K86" i="11" s="1"/>
  <c r="J85" i="11"/>
  <c r="I85" i="11"/>
  <c r="K85" i="11" s="1"/>
  <c r="J84" i="11"/>
  <c r="I84" i="11"/>
  <c r="K84" i="11" s="1"/>
  <c r="J83" i="11"/>
  <c r="I83" i="11"/>
  <c r="K83" i="11" s="1"/>
  <c r="J82" i="11"/>
  <c r="I82" i="11"/>
  <c r="K82" i="11" s="1"/>
  <c r="J81" i="11"/>
  <c r="I81" i="11"/>
  <c r="K81" i="11" s="1"/>
  <c r="J80" i="11"/>
  <c r="I80" i="11"/>
  <c r="K80" i="11" s="1"/>
  <c r="J79" i="11"/>
  <c r="J78" i="11"/>
  <c r="J77" i="11"/>
  <c r="J76" i="11"/>
  <c r="N74" i="11"/>
  <c r="L74" i="11"/>
  <c r="O74" i="11" s="1"/>
  <c r="L72" i="11"/>
  <c r="L71" i="11"/>
  <c r="N70" i="11"/>
  <c r="M70" i="11"/>
  <c r="O69" i="11"/>
  <c r="P67" i="11"/>
  <c r="N67" i="11"/>
  <c r="M67" i="11"/>
  <c r="L67" i="11"/>
  <c r="O67" i="11" s="1"/>
  <c r="J65" i="11"/>
  <c r="I65" i="11"/>
  <c r="K65" i="11" s="1"/>
  <c r="J64" i="11"/>
  <c r="I64" i="11"/>
  <c r="K64" i="11" s="1"/>
  <c r="N61" i="11"/>
  <c r="L61" i="11"/>
  <c r="O61" i="11" s="1"/>
  <c r="L59" i="11"/>
  <c r="L58" i="11"/>
  <c r="N57" i="11"/>
  <c r="M57" i="11"/>
  <c r="O54" i="11"/>
  <c r="N54" i="11"/>
  <c r="M54" i="11"/>
  <c r="P54" i="11" s="1"/>
  <c r="L54" i="11"/>
  <c r="N49" i="11"/>
  <c r="L49" i="11"/>
  <c r="L47" i="11"/>
  <c r="L46" i="11"/>
  <c r="N45" i="11"/>
  <c r="M45" i="11"/>
  <c r="N42" i="11"/>
  <c r="M42" i="11"/>
  <c r="P42" i="11" s="1"/>
  <c r="L42" i="11"/>
  <c r="P36" i="11"/>
  <c r="O36" i="11"/>
  <c r="P35" i="11"/>
  <c r="O35" i="11"/>
  <c r="P34" i="11"/>
  <c r="M34" i="11"/>
  <c r="M33" i="11"/>
  <c r="P33" i="11" s="1"/>
  <c r="M32" i="11"/>
  <c r="P32" i="11" s="1"/>
  <c r="P31" i="11"/>
  <c r="M31" i="11"/>
  <c r="M30" i="11"/>
  <c r="P30" i="11" s="1"/>
  <c r="P29" i="11"/>
  <c r="M29" i="11"/>
  <c r="M28" i="11"/>
  <c r="P28" i="11" s="1"/>
  <c r="P25" i="11"/>
  <c r="O25" i="11"/>
  <c r="N25" i="11"/>
  <c r="M25" i="11"/>
  <c r="L25" i="11"/>
  <c r="N24" i="11"/>
  <c r="M24" i="11"/>
  <c r="P24" i="11" s="1"/>
  <c r="N23" i="11"/>
  <c r="M23" i="11"/>
  <c r="P23" i="11" s="1"/>
  <c r="N21" i="11"/>
  <c r="M21" i="11"/>
  <c r="P21" i="11" s="1"/>
  <c r="L21" i="11"/>
  <c r="L19" i="11" s="1"/>
  <c r="N19" i="11"/>
  <c r="M19" i="11"/>
  <c r="N15" i="11"/>
  <c r="M15" i="11"/>
  <c r="P15" i="11" s="1"/>
  <c r="L15" i="11"/>
  <c r="O15" i="11" s="1"/>
  <c r="J635" i="10"/>
  <c r="I635" i="10"/>
  <c r="J634" i="10"/>
  <c r="I634" i="10"/>
  <c r="J633" i="10"/>
  <c r="I633" i="10"/>
  <c r="J632" i="10"/>
  <c r="I632" i="10"/>
  <c r="K632" i="10" s="1"/>
  <c r="J631" i="10"/>
  <c r="I631" i="10"/>
  <c r="K631" i="10" s="1"/>
  <c r="J630" i="10"/>
  <c r="I630" i="10"/>
  <c r="K630" i="10" s="1"/>
  <c r="J629" i="10"/>
  <c r="I629" i="10"/>
  <c r="J628" i="10"/>
  <c r="I628" i="10"/>
  <c r="J626" i="10"/>
  <c r="I626" i="10"/>
  <c r="J625" i="10"/>
  <c r="I625" i="10"/>
  <c r="J624" i="10"/>
  <c r="I624" i="10"/>
  <c r="J623" i="10"/>
  <c r="I623" i="10"/>
  <c r="J622" i="10"/>
  <c r="I622" i="10"/>
  <c r="J621" i="10"/>
  <c r="I621" i="10"/>
  <c r="J620" i="10"/>
  <c r="I620" i="10"/>
  <c r="J619" i="10"/>
  <c r="I619" i="10"/>
  <c r="J618" i="10"/>
  <c r="I618" i="10"/>
  <c r="J617" i="10"/>
  <c r="I617" i="10"/>
  <c r="J616" i="10"/>
  <c r="I616" i="10"/>
  <c r="J615" i="10"/>
  <c r="I615" i="10"/>
  <c r="J614" i="10"/>
  <c r="I614" i="10"/>
  <c r="J613" i="10"/>
  <c r="I613" i="10"/>
  <c r="J612" i="10"/>
  <c r="I612" i="10"/>
  <c r="J611" i="10"/>
  <c r="I611" i="10"/>
  <c r="J610" i="10"/>
  <c r="J609" i="10"/>
  <c r="J608" i="10"/>
  <c r="J607" i="10"/>
  <c r="N605" i="10"/>
  <c r="N604" i="10"/>
  <c r="N603" i="10"/>
  <c r="N602" i="10"/>
  <c r="N601" i="10"/>
  <c r="L601" i="10"/>
  <c r="N600" i="10"/>
  <c r="L600" i="10"/>
  <c r="O600" i="10" s="1"/>
  <c r="N599" i="10"/>
  <c r="L599" i="10"/>
  <c r="N598" i="10"/>
  <c r="L598" i="10"/>
  <c r="O598" i="10" s="1"/>
  <c r="N597" i="10"/>
  <c r="L597" i="10"/>
  <c r="J597" i="10"/>
  <c r="I597" i="10"/>
  <c r="J596" i="10"/>
  <c r="I596" i="10"/>
  <c r="K596" i="10" s="1"/>
  <c r="J595" i="10"/>
  <c r="I595" i="10"/>
  <c r="K595" i="10" s="1"/>
  <c r="J594" i="10"/>
  <c r="I594" i="10"/>
  <c r="K594" i="10" s="1"/>
  <c r="J593" i="10"/>
  <c r="I593" i="10"/>
  <c r="K593" i="10" s="1"/>
  <c r="J592" i="10"/>
  <c r="I592" i="10"/>
  <c r="K592" i="10" s="1"/>
  <c r="J591" i="10"/>
  <c r="I591" i="10"/>
  <c r="K591" i="10" s="1"/>
  <c r="J590" i="10"/>
  <c r="I590" i="10"/>
  <c r="K590" i="10" s="1"/>
  <c r="J589" i="10"/>
  <c r="I589" i="10"/>
  <c r="K589" i="10" s="1"/>
  <c r="N588" i="10"/>
  <c r="N587" i="10"/>
  <c r="N586" i="10"/>
  <c r="N585" i="10"/>
  <c r="N584" i="10"/>
  <c r="L584" i="10"/>
  <c r="O584" i="10" s="1"/>
  <c r="N583" i="10"/>
  <c r="L583" i="10"/>
  <c r="N582" i="10"/>
  <c r="L582" i="10"/>
  <c r="O582" i="10" s="1"/>
  <c r="N581" i="10"/>
  <c r="L581" i="10"/>
  <c r="O581" i="10" s="1"/>
  <c r="N580" i="10"/>
  <c r="L580" i="10"/>
  <c r="O580" i="10" s="1"/>
  <c r="J580" i="10"/>
  <c r="I580" i="10"/>
  <c r="K580" i="10" s="1"/>
  <c r="J579" i="10"/>
  <c r="I579" i="10"/>
  <c r="K579" i="10" s="1"/>
  <c r="J578" i="10"/>
  <c r="I578" i="10"/>
  <c r="K578" i="10" s="1"/>
  <c r="J577" i="10"/>
  <c r="I577" i="10"/>
  <c r="K577" i="10" s="1"/>
  <c r="J576" i="10"/>
  <c r="I576" i="10"/>
  <c r="J575" i="10"/>
  <c r="I575" i="10"/>
  <c r="K575" i="10" s="1"/>
  <c r="J573" i="10"/>
  <c r="I573" i="10"/>
  <c r="N572" i="10"/>
  <c r="N571" i="10"/>
  <c r="N570" i="10"/>
  <c r="N569" i="10"/>
  <c r="N568" i="10"/>
  <c r="L568" i="10"/>
  <c r="N567" i="10"/>
  <c r="L567" i="10"/>
  <c r="O567" i="10" s="1"/>
  <c r="N566" i="10"/>
  <c r="L566" i="10"/>
  <c r="N565" i="10"/>
  <c r="L565" i="10"/>
  <c r="N564" i="10"/>
  <c r="L564" i="10"/>
  <c r="J564" i="10"/>
  <c r="I564" i="10"/>
  <c r="J561" i="10"/>
  <c r="I561" i="10"/>
  <c r="K561" i="10" s="1"/>
  <c r="J560" i="10"/>
  <c r="I560" i="10"/>
  <c r="N559" i="10"/>
  <c r="N558" i="10"/>
  <c r="N557" i="10"/>
  <c r="N556" i="10"/>
  <c r="N555" i="10"/>
  <c r="L555" i="10"/>
  <c r="O555" i="10" s="1"/>
  <c r="N554" i="10"/>
  <c r="L554" i="10"/>
  <c r="N553" i="10"/>
  <c r="L553" i="10"/>
  <c r="O553" i="10" s="1"/>
  <c r="N552" i="10"/>
  <c r="L552" i="10"/>
  <c r="O552" i="10" s="1"/>
  <c r="N551" i="10"/>
  <c r="L551" i="10"/>
  <c r="O551" i="10" s="1"/>
  <c r="J551" i="10"/>
  <c r="I551" i="10"/>
  <c r="J550" i="10"/>
  <c r="J549" i="10"/>
  <c r="J548" i="10"/>
  <c r="I548" i="10"/>
  <c r="K548" i="10" s="1"/>
  <c r="J547" i="10"/>
  <c r="I547" i="10"/>
  <c r="J546" i="10"/>
  <c r="J545" i="10"/>
  <c r="J544" i="10"/>
  <c r="J543" i="10"/>
  <c r="N541" i="10"/>
  <c r="N540" i="10"/>
  <c r="N539" i="10"/>
  <c r="N538" i="10"/>
  <c r="N537" i="10"/>
  <c r="L537" i="10"/>
  <c r="N536" i="10"/>
  <c r="L536" i="10"/>
  <c r="O536" i="10" s="1"/>
  <c r="N535" i="10"/>
  <c r="L535" i="10"/>
  <c r="N534" i="10"/>
  <c r="L534" i="10"/>
  <c r="O534" i="10" s="1"/>
  <c r="N533" i="10"/>
  <c r="L533" i="10"/>
  <c r="J533" i="10"/>
  <c r="I533" i="10"/>
  <c r="J532" i="10"/>
  <c r="I532" i="10"/>
  <c r="J531" i="10"/>
  <c r="I531" i="10"/>
  <c r="J530" i="10"/>
  <c r="I530" i="10"/>
  <c r="J529" i="10"/>
  <c r="I529" i="10"/>
  <c r="J528" i="10"/>
  <c r="I528" i="10"/>
  <c r="J527" i="10"/>
  <c r="I527" i="10"/>
  <c r="J526" i="10"/>
  <c r="I526" i="10"/>
  <c r="J525" i="10"/>
  <c r="I525" i="10"/>
  <c r="J524" i="10"/>
  <c r="I524" i="10"/>
  <c r="J523" i="10"/>
  <c r="I523" i="10"/>
  <c r="J522" i="10"/>
  <c r="I522" i="10"/>
  <c r="J521" i="10"/>
  <c r="I521" i="10"/>
  <c r="J520" i="10"/>
  <c r="I520" i="10"/>
  <c r="J519" i="10"/>
  <c r="I519" i="10"/>
  <c r="J518" i="10"/>
  <c r="I518" i="10"/>
  <c r="J517" i="10"/>
  <c r="I517" i="10"/>
  <c r="J516" i="10"/>
  <c r="I516" i="10"/>
  <c r="J515" i="10"/>
  <c r="I515" i="10"/>
  <c r="K515" i="10" s="1"/>
  <c r="J514" i="10"/>
  <c r="I514" i="10"/>
  <c r="K514" i="10" s="1"/>
  <c r="J513" i="10"/>
  <c r="I513" i="10"/>
  <c r="K513" i="10" s="1"/>
  <c r="J512" i="10"/>
  <c r="I512" i="10"/>
  <c r="K512" i="10" s="1"/>
  <c r="J511" i="10"/>
  <c r="I511" i="10"/>
  <c r="K511" i="10" s="1"/>
  <c r="J510" i="10"/>
  <c r="I510" i="10"/>
  <c r="K510" i="10" s="1"/>
  <c r="J509" i="10"/>
  <c r="I509" i="10"/>
  <c r="K509" i="10" s="1"/>
  <c r="J508" i="10"/>
  <c r="I508" i="10"/>
  <c r="K508" i="10" s="1"/>
  <c r="J507" i="10"/>
  <c r="I507" i="10"/>
  <c r="K507" i="10" s="1"/>
  <c r="J506" i="10"/>
  <c r="I506" i="10"/>
  <c r="K506" i="10" s="1"/>
  <c r="J505" i="10"/>
  <c r="I505" i="10"/>
  <c r="K505" i="10" s="1"/>
  <c r="J504" i="10"/>
  <c r="I504" i="10"/>
  <c r="K504" i="10" s="1"/>
  <c r="J503" i="10"/>
  <c r="I503" i="10"/>
  <c r="K503" i="10" s="1"/>
  <c r="J502" i="10"/>
  <c r="I502" i="10"/>
  <c r="K502" i="10" s="1"/>
  <c r="J501" i="10"/>
  <c r="I501" i="10"/>
  <c r="K501" i="10" s="1"/>
  <c r="J500" i="10"/>
  <c r="I500" i="10"/>
  <c r="J499" i="10"/>
  <c r="I499" i="10"/>
  <c r="K499" i="10" s="1"/>
  <c r="J498" i="10"/>
  <c r="I498" i="10"/>
  <c r="K498" i="10" s="1"/>
  <c r="J497" i="10"/>
  <c r="I497" i="10"/>
  <c r="K497" i="10" s="1"/>
  <c r="J496" i="10"/>
  <c r="I496" i="10"/>
  <c r="J495" i="10"/>
  <c r="I495" i="10"/>
  <c r="K495" i="10" s="1"/>
  <c r="J494" i="10"/>
  <c r="I494" i="10"/>
  <c r="K494" i="10" s="1"/>
  <c r="J493" i="10"/>
  <c r="I493" i="10"/>
  <c r="K493" i="10" s="1"/>
  <c r="J492" i="10"/>
  <c r="I492" i="10"/>
  <c r="K492" i="10" s="1"/>
  <c r="J491" i="10"/>
  <c r="I491" i="10"/>
  <c r="K491" i="10" s="1"/>
  <c r="J490" i="10"/>
  <c r="I490" i="10"/>
  <c r="K490" i="10" s="1"/>
  <c r="J489" i="10"/>
  <c r="I489" i="10"/>
  <c r="K489" i="10" s="1"/>
  <c r="J488" i="10"/>
  <c r="I488" i="10"/>
  <c r="K488" i="10" s="1"/>
  <c r="J487" i="10"/>
  <c r="I487" i="10"/>
  <c r="K487" i="10" s="1"/>
  <c r="J486" i="10"/>
  <c r="I486" i="10"/>
  <c r="K486" i="10" s="1"/>
  <c r="J485" i="10"/>
  <c r="I485" i="10"/>
  <c r="K485" i="10" s="1"/>
  <c r="J484" i="10"/>
  <c r="I484" i="10"/>
  <c r="K484" i="10" s="1"/>
  <c r="J483" i="10"/>
  <c r="I483" i="10"/>
  <c r="K483" i="10" s="1"/>
  <c r="J482" i="10"/>
  <c r="I482" i="10"/>
  <c r="K482" i="10" s="1"/>
  <c r="J481" i="10"/>
  <c r="I481" i="10"/>
  <c r="K481" i="10" s="1"/>
  <c r="J480" i="10"/>
  <c r="I480" i="10"/>
  <c r="K480" i="10" s="1"/>
  <c r="J479" i="10"/>
  <c r="I479" i="10"/>
  <c r="K479" i="10" s="1"/>
  <c r="J478" i="10"/>
  <c r="I478" i="10"/>
  <c r="K478" i="10" s="1"/>
  <c r="J477" i="10"/>
  <c r="I477" i="10"/>
  <c r="K477" i="10" s="1"/>
  <c r="J476" i="10"/>
  <c r="I476" i="10"/>
  <c r="K476" i="10" s="1"/>
  <c r="J475" i="10"/>
  <c r="I475" i="10"/>
  <c r="K475" i="10" s="1"/>
  <c r="J474" i="10"/>
  <c r="I474" i="10"/>
  <c r="K474" i="10" s="1"/>
  <c r="J473" i="10"/>
  <c r="I473" i="10"/>
  <c r="K473" i="10" s="1"/>
  <c r="J472" i="10"/>
  <c r="I472" i="10"/>
  <c r="K472" i="10" s="1"/>
  <c r="J471" i="10"/>
  <c r="I471" i="10"/>
  <c r="K471" i="10" s="1"/>
  <c r="J470" i="10"/>
  <c r="I470" i="10"/>
  <c r="K470" i="10" s="1"/>
  <c r="J469" i="10"/>
  <c r="I469" i="10"/>
  <c r="K469" i="10" s="1"/>
  <c r="J468" i="10"/>
  <c r="I468" i="10"/>
  <c r="K468" i="10" s="1"/>
  <c r="J467" i="10"/>
  <c r="I467" i="10"/>
  <c r="K467" i="10" s="1"/>
  <c r="J466" i="10"/>
  <c r="I466" i="10"/>
  <c r="K466" i="10" s="1"/>
  <c r="J465" i="10"/>
  <c r="I465" i="10"/>
  <c r="K465" i="10" s="1"/>
  <c r="J464" i="10"/>
  <c r="I464" i="10"/>
  <c r="K464" i="10" s="1"/>
  <c r="N463" i="10"/>
  <c r="N462" i="10"/>
  <c r="N461" i="10"/>
  <c r="N460" i="10"/>
  <c r="N459" i="10"/>
  <c r="L459" i="10"/>
  <c r="O459" i="10" s="1"/>
  <c r="N458" i="10"/>
  <c r="L458" i="10"/>
  <c r="O458" i="10" s="1"/>
  <c r="N457" i="10"/>
  <c r="L457" i="10"/>
  <c r="O457" i="10" s="1"/>
  <c r="N456" i="10"/>
  <c r="L456" i="10"/>
  <c r="O456" i="10" s="1"/>
  <c r="N455" i="10"/>
  <c r="L455" i="10"/>
  <c r="O455" i="10" s="1"/>
  <c r="J455" i="10"/>
  <c r="I455" i="10"/>
  <c r="K455" i="10" s="1"/>
  <c r="J454" i="10"/>
  <c r="J453" i="10"/>
  <c r="J452" i="10"/>
  <c r="I452" i="10"/>
  <c r="K452" i="10" s="1"/>
  <c r="J451" i="10"/>
  <c r="I451" i="10"/>
  <c r="K451" i="10" s="1"/>
  <c r="J450" i="10"/>
  <c r="I450" i="10"/>
  <c r="J449" i="10"/>
  <c r="I449" i="10"/>
  <c r="J448" i="10"/>
  <c r="J447" i="10"/>
  <c r="J446" i="10"/>
  <c r="J445" i="10"/>
  <c r="N443" i="10"/>
  <c r="N442" i="10"/>
  <c r="N441" i="10"/>
  <c r="N440" i="10"/>
  <c r="N439" i="10"/>
  <c r="L439" i="10"/>
  <c r="N438" i="10"/>
  <c r="L438" i="10"/>
  <c r="O438" i="10" s="1"/>
  <c r="N437" i="10"/>
  <c r="L437" i="10"/>
  <c r="N436" i="10"/>
  <c r="L436" i="10"/>
  <c r="O436" i="10" s="1"/>
  <c r="N435" i="10"/>
  <c r="L435" i="10"/>
  <c r="J435" i="10"/>
  <c r="I435" i="10"/>
  <c r="J434" i="10"/>
  <c r="J433" i="10"/>
  <c r="J432" i="10"/>
  <c r="I432" i="10"/>
  <c r="J431" i="10"/>
  <c r="I431" i="10"/>
  <c r="J430" i="10"/>
  <c r="I430" i="10"/>
  <c r="J429" i="10"/>
  <c r="I429" i="10"/>
  <c r="J428" i="10"/>
  <c r="I428" i="10"/>
  <c r="J427" i="10"/>
  <c r="I427" i="10"/>
  <c r="J426" i="10"/>
  <c r="I426" i="10"/>
  <c r="J425" i="10"/>
  <c r="I425" i="10"/>
  <c r="J424" i="10"/>
  <c r="I424" i="10"/>
  <c r="J423" i="10"/>
  <c r="I423" i="10"/>
  <c r="J422" i="10"/>
  <c r="I422" i="10"/>
  <c r="J421" i="10"/>
  <c r="I421" i="10"/>
  <c r="J420" i="10"/>
  <c r="I420" i="10"/>
  <c r="J419" i="10"/>
  <c r="I419" i="10"/>
  <c r="J418" i="10"/>
  <c r="I418" i="10"/>
  <c r="J417" i="10"/>
  <c r="I417" i="10"/>
  <c r="J416" i="10"/>
  <c r="I416" i="10"/>
  <c r="J415" i="10"/>
  <c r="J414" i="10"/>
  <c r="J413" i="10"/>
  <c r="J412" i="10"/>
  <c r="N410" i="10"/>
  <c r="N409" i="10"/>
  <c r="N408" i="10"/>
  <c r="N407" i="10"/>
  <c r="N406" i="10"/>
  <c r="L406" i="10"/>
  <c r="N405" i="10"/>
  <c r="L405" i="10"/>
  <c r="O405" i="10" s="1"/>
  <c r="N404" i="10"/>
  <c r="L404" i="10"/>
  <c r="N403" i="10"/>
  <c r="L403" i="10"/>
  <c r="O403" i="10" s="1"/>
  <c r="J402" i="10"/>
  <c r="I402" i="10"/>
  <c r="N401" i="10"/>
  <c r="L401" i="10"/>
  <c r="J401" i="10"/>
  <c r="I401" i="10"/>
  <c r="J400" i="10"/>
  <c r="J399" i="10"/>
  <c r="J398" i="10"/>
  <c r="I398" i="10"/>
  <c r="J397" i="10"/>
  <c r="I397" i="10"/>
  <c r="J396" i="10"/>
  <c r="I396" i="10"/>
  <c r="J394" i="10"/>
  <c r="J393" i="10"/>
  <c r="J392" i="10"/>
  <c r="J391" i="10"/>
  <c r="N389" i="10"/>
  <c r="N388" i="10"/>
  <c r="N387" i="10"/>
  <c r="N386" i="10"/>
  <c r="N385" i="10"/>
  <c r="L385" i="10"/>
  <c r="N384" i="10"/>
  <c r="L384" i="10"/>
  <c r="O384" i="10" s="1"/>
  <c r="N383" i="10"/>
  <c r="L383" i="10"/>
  <c r="N382" i="10"/>
  <c r="L382" i="10"/>
  <c r="O382" i="10" s="1"/>
  <c r="J381" i="10"/>
  <c r="I381" i="10"/>
  <c r="N380" i="10"/>
  <c r="L380" i="10"/>
  <c r="J380" i="10"/>
  <c r="I380" i="10"/>
  <c r="J379" i="10"/>
  <c r="J378" i="10"/>
  <c r="J377" i="10"/>
  <c r="I377" i="10"/>
  <c r="J376" i="10"/>
  <c r="I376" i="10"/>
  <c r="K376" i="10" s="1"/>
  <c r="J375" i="10"/>
  <c r="I375" i="10"/>
  <c r="J374" i="10"/>
  <c r="I374" i="10"/>
  <c r="J373" i="10"/>
  <c r="I373" i="10"/>
  <c r="K373" i="10" s="1"/>
  <c r="J372" i="10"/>
  <c r="I372" i="10"/>
  <c r="J371" i="10"/>
  <c r="I371" i="10"/>
  <c r="K371" i="10" s="1"/>
  <c r="J370" i="10"/>
  <c r="I370" i="10"/>
  <c r="J369" i="10"/>
  <c r="I369" i="10"/>
  <c r="K369" i="10" s="1"/>
  <c r="J368" i="10"/>
  <c r="I368" i="10"/>
  <c r="J367" i="10"/>
  <c r="J366" i="10"/>
  <c r="J365" i="10"/>
  <c r="I365" i="10"/>
  <c r="K365" i="10" s="1"/>
  <c r="J364" i="10"/>
  <c r="J363" i="10"/>
  <c r="J362" i="10"/>
  <c r="J361" i="10"/>
  <c r="J360" i="10"/>
  <c r="N358" i="10"/>
  <c r="N357" i="10"/>
  <c r="N356" i="10"/>
  <c r="N355" i="10"/>
  <c r="N354" i="10"/>
  <c r="L354" i="10"/>
  <c r="N353" i="10"/>
  <c r="L353" i="10"/>
  <c r="O353" i="10" s="1"/>
  <c r="N352" i="10"/>
  <c r="L352" i="10"/>
  <c r="N351" i="10"/>
  <c r="L351" i="10"/>
  <c r="O351" i="10" s="1"/>
  <c r="J350" i="10"/>
  <c r="I350" i="10"/>
  <c r="N349" i="10"/>
  <c r="L349" i="10"/>
  <c r="J349" i="10"/>
  <c r="I349" i="10"/>
  <c r="N347" i="10"/>
  <c r="L347" i="10"/>
  <c r="J346" i="10"/>
  <c r="I346" i="10"/>
  <c r="K346" i="10" s="1"/>
  <c r="J345" i="10"/>
  <c r="I345" i="10"/>
  <c r="J344" i="10"/>
  <c r="I344" i="10"/>
  <c r="K344" i="10" s="1"/>
  <c r="J343" i="10"/>
  <c r="I343" i="10"/>
  <c r="J342" i="10"/>
  <c r="I342" i="10"/>
  <c r="K342" i="10" s="1"/>
  <c r="J341" i="10"/>
  <c r="I341" i="10"/>
  <c r="J340" i="10"/>
  <c r="I340" i="10"/>
  <c r="J339" i="10"/>
  <c r="I339" i="10"/>
  <c r="K339" i="10" s="1"/>
  <c r="N337" i="10"/>
  <c r="L337" i="10"/>
  <c r="M337" i="10" s="1"/>
  <c r="L335" i="10"/>
  <c r="L334" i="10"/>
  <c r="N333" i="10"/>
  <c r="M333" i="10"/>
  <c r="O332" i="10"/>
  <c r="O330" i="10"/>
  <c r="N330" i="10"/>
  <c r="M330" i="10"/>
  <c r="P330" i="10" s="1"/>
  <c r="L330" i="10"/>
  <c r="J328" i="10"/>
  <c r="I328" i="10"/>
  <c r="J326" i="10"/>
  <c r="J325" i="10"/>
  <c r="J324" i="10"/>
  <c r="I324" i="10"/>
  <c r="K324" i="10" s="1"/>
  <c r="J323" i="10"/>
  <c r="J322" i="10"/>
  <c r="J321" i="10"/>
  <c r="J320" i="10"/>
  <c r="N318" i="10"/>
  <c r="L318" i="10"/>
  <c r="O318" i="10" s="1"/>
  <c r="L316" i="10"/>
  <c r="L315" i="10"/>
  <c r="N314" i="10"/>
  <c r="M314" i="10"/>
  <c r="O313" i="10"/>
  <c r="P311" i="10"/>
  <c r="O311" i="10"/>
  <c r="N311" i="10"/>
  <c r="M311" i="10"/>
  <c r="L311" i="10"/>
  <c r="J309" i="10"/>
  <c r="I309" i="10"/>
  <c r="K309" i="10" s="1"/>
  <c r="J308" i="10"/>
  <c r="J307" i="10"/>
  <c r="J306" i="10"/>
  <c r="I306" i="10"/>
  <c r="K306" i="10" s="1"/>
  <c r="J304" i="10"/>
  <c r="I304" i="10"/>
  <c r="K304" i="10" s="1"/>
  <c r="J303" i="10"/>
  <c r="J302" i="10"/>
  <c r="J301" i="10"/>
  <c r="J300" i="10"/>
  <c r="N298" i="10"/>
  <c r="L298" i="10"/>
  <c r="O298" i="10" s="1"/>
  <c r="L296" i="10"/>
  <c r="L295" i="10"/>
  <c r="N294" i="10"/>
  <c r="M294" i="10"/>
  <c r="O293" i="10"/>
  <c r="N291" i="10"/>
  <c r="M291" i="10"/>
  <c r="P291" i="10" s="1"/>
  <c r="L291" i="10"/>
  <c r="J289" i="10"/>
  <c r="I289" i="10"/>
  <c r="K289" i="10" s="1"/>
  <c r="J287" i="10"/>
  <c r="J286" i="10"/>
  <c r="J285" i="10"/>
  <c r="I285" i="10"/>
  <c r="K285" i="10" s="1"/>
  <c r="J284" i="10"/>
  <c r="J283" i="10"/>
  <c r="J282" i="10"/>
  <c r="J281" i="10"/>
  <c r="N279" i="10"/>
  <c r="L279" i="10"/>
  <c r="O279" i="10" s="1"/>
  <c r="L277" i="10"/>
  <c r="L276" i="10"/>
  <c r="N275" i="10"/>
  <c r="M275" i="10"/>
  <c r="P275" i="10" s="1"/>
  <c r="O274" i="10"/>
  <c r="P272" i="10"/>
  <c r="O272" i="10"/>
  <c r="N272" i="10"/>
  <c r="M272" i="10"/>
  <c r="L272" i="10"/>
  <c r="J270" i="10"/>
  <c r="I270" i="10"/>
  <c r="K270" i="10" s="1"/>
  <c r="J269" i="10"/>
  <c r="J268" i="10"/>
  <c r="J267" i="10"/>
  <c r="I267" i="10"/>
  <c r="K267" i="10" s="1"/>
  <c r="J266" i="10"/>
  <c r="I266" i="10"/>
  <c r="K266" i="10" s="1"/>
  <c r="J265" i="10"/>
  <c r="I265" i="10"/>
  <c r="K265" i="10" s="1"/>
  <c r="J264" i="10"/>
  <c r="I264" i="10"/>
  <c r="K264" i="10" s="1"/>
  <c r="J263" i="10"/>
  <c r="J262" i="10"/>
  <c r="J261" i="10"/>
  <c r="J260" i="10"/>
  <c r="N258" i="10"/>
  <c r="L258" i="10"/>
  <c r="O258" i="10" s="1"/>
  <c r="L256" i="10"/>
  <c r="L255" i="10"/>
  <c r="N254" i="10"/>
  <c r="M254" i="10"/>
  <c r="O253" i="10"/>
  <c r="P251" i="10"/>
  <c r="N251" i="10"/>
  <c r="M251" i="10"/>
  <c r="L251" i="10"/>
  <c r="O251" i="10" s="1"/>
  <c r="J249" i="10"/>
  <c r="I249" i="10"/>
  <c r="K249" i="10" s="1"/>
  <c r="J246" i="10"/>
  <c r="J245" i="10"/>
  <c r="J244" i="10"/>
  <c r="I244" i="10"/>
  <c r="K244" i="10" s="1"/>
  <c r="J243" i="10"/>
  <c r="J242" i="10"/>
  <c r="J241" i="10"/>
  <c r="J240" i="10"/>
  <c r="J238" i="10"/>
  <c r="I238" i="10"/>
  <c r="K238" i="10" s="1"/>
  <c r="J237" i="10"/>
  <c r="J236" i="10"/>
  <c r="J235" i="10"/>
  <c r="I235" i="10"/>
  <c r="J234" i="10"/>
  <c r="J233" i="10"/>
  <c r="J232" i="10"/>
  <c r="J231" i="10"/>
  <c r="J229" i="10"/>
  <c r="I229" i="10"/>
  <c r="N228" i="10"/>
  <c r="L228" i="10"/>
  <c r="O228" i="10" s="1"/>
  <c r="L226" i="10"/>
  <c r="L225" i="10"/>
  <c r="N224" i="10"/>
  <c r="M224" i="10"/>
  <c r="O223" i="10"/>
  <c r="O221" i="10"/>
  <c r="N221" i="10"/>
  <c r="M221" i="10"/>
  <c r="L221" i="10"/>
  <c r="J219" i="10"/>
  <c r="I219" i="10"/>
  <c r="J218" i="10"/>
  <c r="J217" i="10"/>
  <c r="J216" i="10"/>
  <c r="I216" i="10"/>
  <c r="K216" i="10" s="1"/>
  <c r="J215" i="10"/>
  <c r="I215" i="10"/>
  <c r="K215" i="10" s="1"/>
  <c r="J213" i="10"/>
  <c r="I213" i="10"/>
  <c r="K213" i="10" s="1"/>
  <c r="J212" i="10"/>
  <c r="J211" i="10"/>
  <c r="J210" i="10"/>
  <c r="J209" i="10"/>
  <c r="J204" i="10"/>
  <c r="I204" i="10"/>
  <c r="K204" i="10" s="1"/>
  <c r="J203" i="10"/>
  <c r="J202" i="10"/>
  <c r="J201" i="10"/>
  <c r="I201" i="10"/>
  <c r="K201" i="10" s="1"/>
  <c r="J200" i="10"/>
  <c r="I200" i="10"/>
  <c r="K200" i="10" s="1"/>
  <c r="J199" i="10"/>
  <c r="I199" i="10"/>
  <c r="K199" i="10" s="1"/>
  <c r="J197" i="10"/>
  <c r="J196" i="10"/>
  <c r="J195" i="10"/>
  <c r="J194" i="10"/>
  <c r="J189" i="10"/>
  <c r="I189" i="10"/>
  <c r="K189" i="10" s="1"/>
  <c r="J188" i="10"/>
  <c r="J187" i="10"/>
  <c r="J186" i="10"/>
  <c r="I186" i="10"/>
  <c r="K186" i="10" s="1"/>
  <c r="J185" i="10"/>
  <c r="I185" i="10"/>
  <c r="K185" i="10" s="1"/>
  <c r="J184" i="10"/>
  <c r="J183" i="10"/>
  <c r="J182" i="10"/>
  <c r="J181" i="10"/>
  <c r="J176" i="10"/>
  <c r="I176" i="10"/>
  <c r="K176" i="10" s="1"/>
  <c r="J175" i="10"/>
  <c r="J174" i="10"/>
  <c r="J173" i="10"/>
  <c r="I173" i="10"/>
  <c r="J172" i="10"/>
  <c r="J171" i="10"/>
  <c r="J170" i="10"/>
  <c r="J169" i="10"/>
  <c r="J164" i="10"/>
  <c r="I164" i="10"/>
  <c r="J163" i="10"/>
  <c r="J162" i="10"/>
  <c r="J161" i="10"/>
  <c r="J160" i="10"/>
  <c r="J159" i="10"/>
  <c r="J158" i="10"/>
  <c r="I158" i="10"/>
  <c r="J157" i="10"/>
  <c r="J156" i="10"/>
  <c r="J155" i="10"/>
  <c r="J154" i="10"/>
  <c r="J149" i="10"/>
  <c r="I149" i="10"/>
  <c r="N148" i="10"/>
  <c r="L148" i="10"/>
  <c r="O148" i="10" s="1"/>
  <c r="L146" i="10"/>
  <c r="L145" i="10"/>
  <c r="N144" i="10"/>
  <c r="M144" i="10"/>
  <c r="O143" i="10"/>
  <c r="P141" i="10"/>
  <c r="N141" i="10"/>
  <c r="M141" i="10"/>
  <c r="L141" i="10"/>
  <c r="O141" i="10" s="1"/>
  <c r="J138" i="10"/>
  <c r="I138" i="10"/>
  <c r="K138" i="10" s="1"/>
  <c r="J135" i="10"/>
  <c r="J134" i="10"/>
  <c r="J133" i="10"/>
  <c r="I133" i="10"/>
  <c r="K133" i="10" s="1"/>
  <c r="J132" i="10"/>
  <c r="I132" i="10"/>
  <c r="K132" i="10" s="1"/>
  <c r="J131" i="10"/>
  <c r="J130" i="10"/>
  <c r="J129" i="10"/>
  <c r="J128" i="10"/>
  <c r="N126" i="10"/>
  <c r="L126" i="10"/>
  <c r="O126" i="10" s="1"/>
  <c r="L124" i="10"/>
  <c r="L123" i="10"/>
  <c r="N122" i="10"/>
  <c r="M122" i="10"/>
  <c r="P122" i="10" s="1"/>
  <c r="O121" i="10"/>
  <c r="N119" i="10"/>
  <c r="M119" i="10"/>
  <c r="P119" i="10" s="1"/>
  <c r="L119" i="10"/>
  <c r="O119" i="10" s="1"/>
  <c r="J117" i="10"/>
  <c r="I117" i="10"/>
  <c r="K117" i="10" s="1"/>
  <c r="J115" i="10"/>
  <c r="J114" i="10"/>
  <c r="J113" i="10"/>
  <c r="I113" i="10"/>
  <c r="K113" i="10" s="1"/>
  <c r="J112" i="10"/>
  <c r="I112" i="10"/>
  <c r="K112" i="10" s="1"/>
  <c r="J111" i="10"/>
  <c r="I111" i="10"/>
  <c r="K111" i="10" s="1"/>
  <c r="J110" i="10"/>
  <c r="I110" i="10"/>
  <c r="K110" i="10" s="1"/>
  <c r="J109" i="10"/>
  <c r="I109" i="10"/>
  <c r="K109" i="10" s="1"/>
  <c r="J108" i="10"/>
  <c r="I108" i="10"/>
  <c r="K108" i="10" s="1"/>
  <c r="J107" i="10"/>
  <c r="J106" i="10"/>
  <c r="J105" i="10"/>
  <c r="J104" i="10"/>
  <c r="N102" i="10"/>
  <c r="L102" i="10"/>
  <c r="O102" i="10" s="1"/>
  <c r="L100" i="10"/>
  <c r="L99" i="10"/>
  <c r="N98" i="10"/>
  <c r="M98" i="10"/>
  <c r="P98" i="10" s="1"/>
  <c r="O97" i="10"/>
  <c r="O95" i="10"/>
  <c r="N95" i="10"/>
  <c r="M95" i="10"/>
  <c r="P95" i="10" s="1"/>
  <c r="L95" i="10"/>
  <c r="J93" i="10"/>
  <c r="I93" i="10"/>
  <c r="K93" i="10" s="1"/>
  <c r="J92" i="10"/>
  <c r="I92" i="10"/>
  <c r="K92" i="10" s="1"/>
  <c r="J90" i="10"/>
  <c r="J89" i="10"/>
  <c r="J88" i="10"/>
  <c r="I88" i="10"/>
  <c r="K88" i="10" s="1"/>
  <c r="J87" i="10"/>
  <c r="I87" i="10"/>
  <c r="K87" i="10" s="1"/>
  <c r="J86" i="10"/>
  <c r="I86" i="10"/>
  <c r="K86" i="10" s="1"/>
  <c r="J85" i="10"/>
  <c r="I85" i="10"/>
  <c r="K85" i="10" s="1"/>
  <c r="J84" i="10"/>
  <c r="I84" i="10"/>
  <c r="K84" i="10" s="1"/>
  <c r="J83" i="10"/>
  <c r="I83" i="10"/>
  <c r="K83" i="10" s="1"/>
  <c r="J82" i="10"/>
  <c r="I82" i="10"/>
  <c r="K82" i="10" s="1"/>
  <c r="J81" i="10"/>
  <c r="I81" i="10"/>
  <c r="K81" i="10" s="1"/>
  <c r="J80" i="10"/>
  <c r="I80" i="10"/>
  <c r="K80" i="10" s="1"/>
  <c r="J79" i="10"/>
  <c r="J78" i="10"/>
  <c r="J77" i="10"/>
  <c r="J76" i="10"/>
  <c r="N74" i="10"/>
  <c r="L74" i="10"/>
  <c r="O74" i="10" s="1"/>
  <c r="L72" i="10"/>
  <c r="L71" i="10"/>
  <c r="N70" i="10"/>
  <c r="M70" i="10"/>
  <c r="O69" i="10"/>
  <c r="P67" i="10"/>
  <c r="O67" i="10"/>
  <c r="N67" i="10"/>
  <c r="M67" i="10"/>
  <c r="L67" i="10"/>
  <c r="J65" i="10"/>
  <c r="I65" i="10"/>
  <c r="K65" i="10" s="1"/>
  <c r="J64" i="10"/>
  <c r="I64" i="10"/>
  <c r="K64" i="10" s="1"/>
  <c r="N61" i="10"/>
  <c r="L61" i="10"/>
  <c r="O61" i="10" s="1"/>
  <c r="L59" i="10"/>
  <c r="L58" i="10"/>
  <c r="N57" i="10"/>
  <c r="M57" i="10"/>
  <c r="O54" i="10"/>
  <c r="N54" i="10"/>
  <c r="M54" i="10"/>
  <c r="P54" i="10" s="1"/>
  <c r="L54" i="10"/>
  <c r="N49" i="10"/>
  <c r="L49" i="10"/>
  <c r="L47" i="10"/>
  <c r="L46" i="10"/>
  <c r="N45" i="10"/>
  <c r="M45" i="10"/>
  <c r="N42" i="10"/>
  <c r="M42" i="10"/>
  <c r="P42" i="10" s="1"/>
  <c r="L42" i="10"/>
  <c r="O42" i="10" s="1"/>
  <c r="P36" i="10"/>
  <c r="O36" i="10"/>
  <c r="P35" i="10"/>
  <c r="O35" i="10"/>
  <c r="M34" i="10"/>
  <c r="P34" i="10" s="1"/>
  <c r="M33" i="10"/>
  <c r="P33" i="10" s="1"/>
  <c r="M32" i="10"/>
  <c r="P32" i="10" s="1"/>
  <c r="M31" i="10"/>
  <c r="P31" i="10" s="1"/>
  <c r="P30" i="10"/>
  <c r="M30" i="10"/>
  <c r="M29" i="10"/>
  <c r="N25" i="10"/>
  <c r="M25" i="10"/>
  <c r="L25" i="10"/>
  <c r="N24" i="10"/>
  <c r="M24" i="10"/>
  <c r="P24" i="10" s="1"/>
  <c r="N23" i="10"/>
  <c r="M23" i="10"/>
  <c r="P23" i="10" s="1"/>
  <c r="P21" i="10"/>
  <c r="N21" i="10"/>
  <c r="M21" i="10"/>
  <c r="M19" i="10" s="1"/>
  <c r="L21" i="10"/>
  <c r="O21" i="10" s="1"/>
  <c r="N19" i="10"/>
  <c r="N15" i="10"/>
  <c r="M13" i="10"/>
  <c r="P13" i="10" s="1"/>
  <c r="M11" i="10"/>
  <c r="J635" i="9"/>
  <c r="I635" i="9"/>
  <c r="J634" i="9"/>
  <c r="I634" i="9"/>
  <c r="J633" i="9"/>
  <c r="I633" i="9"/>
  <c r="K633" i="9" s="1"/>
  <c r="J632" i="9"/>
  <c r="I632" i="9"/>
  <c r="K632" i="9" s="1"/>
  <c r="J631" i="9"/>
  <c r="I631" i="9"/>
  <c r="J630" i="9"/>
  <c r="I630" i="9"/>
  <c r="J629" i="9"/>
  <c r="I629" i="9"/>
  <c r="J628" i="9"/>
  <c r="I628" i="9"/>
  <c r="J626" i="9"/>
  <c r="I626" i="9"/>
  <c r="J625" i="9"/>
  <c r="I625" i="9"/>
  <c r="J624" i="9"/>
  <c r="I624" i="9"/>
  <c r="J623" i="9"/>
  <c r="I623" i="9"/>
  <c r="J622" i="9"/>
  <c r="I622" i="9"/>
  <c r="J621" i="9"/>
  <c r="I621" i="9"/>
  <c r="J620" i="9"/>
  <c r="I620" i="9"/>
  <c r="J619" i="9"/>
  <c r="I619" i="9"/>
  <c r="J618" i="9"/>
  <c r="I618" i="9"/>
  <c r="J617" i="9"/>
  <c r="I617" i="9"/>
  <c r="J616" i="9"/>
  <c r="I616" i="9"/>
  <c r="J615" i="9"/>
  <c r="I615" i="9"/>
  <c r="J614" i="9"/>
  <c r="I614" i="9"/>
  <c r="J613" i="9"/>
  <c r="I613" i="9"/>
  <c r="J612" i="9"/>
  <c r="I612" i="9"/>
  <c r="J611" i="9"/>
  <c r="I611" i="9"/>
  <c r="J610" i="9"/>
  <c r="J609" i="9"/>
  <c r="J608" i="9"/>
  <c r="J607" i="9"/>
  <c r="N605" i="9"/>
  <c r="N604" i="9"/>
  <c r="N603" i="9"/>
  <c r="N602" i="9"/>
  <c r="N601" i="9"/>
  <c r="L601" i="9"/>
  <c r="N600" i="9"/>
  <c r="L600" i="9"/>
  <c r="O600" i="9" s="1"/>
  <c r="N599" i="9"/>
  <c r="L599" i="9"/>
  <c r="N598" i="9"/>
  <c r="L598" i="9"/>
  <c r="O598" i="9" s="1"/>
  <c r="N597" i="9"/>
  <c r="L597" i="9"/>
  <c r="J597" i="9"/>
  <c r="I597" i="9"/>
  <c r="J596" i="9"/>
  <c r="I596" i="9"/>
  <c r="K596" i="9" s="1"/>
  <c r="J595" i="9"/>
  <c r="I595" i="9"/>
  <c r="J594" i="9"/>
  <c r="I594" i="9"/>
  <c r="K594" i="9" s="1"/>
  <c r="J593" i="9"/>
  <c r="I593" i="9"/>
  <c r="J592" i="9"/>
  <c r="I592" i="9"/>
  <c r="K592" i="9" s="1"/>
  <c r="J591" i="9"/>
  <c r="I591" i="9"/>
  <c r="J590" i="9"/>
  <c r="I590" i="9"/>
  <c r="K590" i="9" s="1"/>
  <c r="J589" i="9"/>
  <c r="I589" i="9"/>
  <c r="N588" i="9"/>
  <c r="N587" i="9"/>
  <c r="N586" i="9"/>
  <c r="N585" i="9"/>
  <c r="N584" i="9"/>
  <c r="L584" i="9"/>
  <c r="N583" i="9"/>
  <c r="L583" i="9"/>
  <c r="O583" i="9" s="1"/>
  <c r="N582" i="9"/>
  <c r="L582" i="9"/>
  <c r="N581" i="9"/>
  <c r="L581" i="9"/>
  <c r="O581" i="9" s="1"/>
  <c r="N580" i="9"/>
  <c r="L580" i="9"/>
  <c r="J580" i="9"/>
  <c r="I580" i="9"/>
  <c r="J579" i="9"/>
  <c r="I579" i="9"/>
  <c r="K579" i="9" s="1"/>
  <c r="J578" i="9"/>
  <c r="I578" i="9"/>
  <c r="K578" i="9" s="1"/>
  <c r="J577" i="9"/>
  <c r="I577" i="9"/>
  <c r="K577" i="9" s="1"/>
  <c r="J576" i="9"/>
  <c r="I576" i="9"/>
  <c r="K576" i="9" s="1"/>
  <c r="J575" i="9"/>
  <c r="I575" i="9"/>
  <c r="K575" i="9" s="1"/>
  <c r="J573" i="9"/>
  <c r="I573" i="9"/>
  <c r="N572" i="9"/>
  <c r="N571" i="9"/>
  <c r="N570" i="9"/>
  <c r="N569" i="9"/>
  <c r="N568" i="9"/>
  <c r="L568" i="9"/>
  <c r="N567" i="9"/>
  <c r="L567" i="9"/>
  <c r="O567" i="9" s="1"/>
  <c r="N566" i="9"/>
  <c r="L566" i="9"/>
  <c r="N565" i="9"/>
  <c r="L565" i="9"/>
  <c r="O565" i="9" s="1"/>
  <c r="N564" i="9"/>
  <c r="L564" i="9"/>
  <c r="J564" i="9"/>
  <c r="I564" i="9"/>
  <c r="J561" i="9"/>
  <c r="I561" i="9"/>
  <c r="K561" i="9" s="1"/>
  <c r="J560" i="9"/>
  <c r="I560" i="9"/>
  <c r="K560" i="9" s="1"/>
  <c r="N559" i="9"/>
  <c r="N558" i="9"/>
  <c r="N557" i="9"/>
  <c r="N556" i="9"/>
  <c r="N555" i="9"/>
  <c r="L555" i="9"/>
  <c r="O555" i="9" s="1"/>
  <c r="N554" i="9"/>
  <c r="L554" i="9"/>
  <c r="O554" i="9" s="1"/>
  <c r="N553" i="9"/>
  <c r="L553" i="9"/>
  <c r="O553" i="9" s="1"/>
  <c r="N552" i="9"/>
  <c r="L552" i="9"/>
  <c r="O552" i="9" s="1"/>
  <c r="N551" i="9"/>
  <c r="L551" i="9"/>
  <c r="J551" i="9"/>
  <c r="I551" i="9"/>
  <c r="K551" i="9" s="1"/>
  <c r="J550" i="9"/>
  <c r="J549" i="9"/>
  <c r="J548" i="9"/>
  <c r="I548" i="9"/>
  <c r="K548" i="9" s="1"/>
  <c r="J547" i="9"/>
  <c r="I547" i="9"/>
  <c r="J546" i="9"/>
  <c r="J545" i="9"/>
  <c r="J544" i="9"/>
  <c r="J543" i="9"/>
  <c r="N541" i="9"/>
  <c r="N540" i="9"/>
  <c r="N539" i="9"/>
  <c r="N538" i="9"/>
  <c r="N537" i="9"/>
  <c r="L537" i="9"/>
  <c r="N536" i="9"/>
  <c r="L536" i="9"/>
  <c r="O536" i="9" s="1"/>
  <c r="N535" i="9"/>
  <c r="L535" i="9"/>
  <c r="N534" i="9"/>
  <c r="L534" i="9"/>
  <c r="O534" i="9" s="1"/>
  <c r="N533" i="9"/>
  <c r="L533" i="9"/>
  <c r="J533" i="9"/>
  <c r="I533" i="9"/>
  <c r="J532" i="9"/>
  <c r="I532" i="9"/>
  <c r="J531" i="9"/>
  <c r="I531" i="9"/>
  <c r="J530" i="9"/>
  <c r="I530" i="9"/>
  <c r="J529" i="9"/>
  <c r="I529" i="9"/>
  <c r="J528" i="9"/>
  <c r="I528" i="9"/>
  <c r="J527" i="9"/>
  <c r="I527" i="9"/>
  <c r="J526" i="9"/>
  <c r="I526" i="9"/>
  <c r="J525" i="9"/>
  <c r="I525" i="9"/>
  <c r="J524" i="9"/>
  <c r="I524" i="9"/>
  <c r="J523" i="9"/>
  <c r="I523" i="9"/>
  <c r="J522" i="9"/>
  <c r="I522" i="9"/>
  <c r="J521" i="9"/>
  <c r="I521" i="9"/>
  <c r="J520" i="9"/>
  <c r="I520" i="9"/>
  <c r="J519" i="9"/>
  <c r="I519" i="9"/>
  <c r="J518" i="9"/>
  <c r="I518" i="9"/>
  <c r="J517" i="9"/>
  <c r="I517" i="9"/>
  <c r="J516" i="9"/>
  <c r="I516" i="9"/>
  <c r="J515" i="9"/>
  <c r="I515" i="9"/>
  <c r="K515" i="9" s="1"/>
  <c r="J514" i="9"/>
  <c r="I514" i="9"/>
  <c r="K514" i="9" s="1"/>
  <c r="J513" i="9"/>
  <c r="I513" i="9"/>
  <c r="K513" i="9" s="1"/>
  <c r="J512" i="9"/>
  <c r="I512" i="9"/>
  <c r="K512" i="9" s="1"/>
  <c r="J511" i="9"/>
  <c r="I511" i="9"/>
  <c r="K511" i="9" s="1"/>
  <c r="J510" i="9"/>
  <c r="I510" i="9"/>
  <c r="K510" i="9" s="1"/>
  <c r="J509" i="9"/>
  <c r="I509" i="9"/>
  <c r="K509" i="9" s="1"/>
  <c r="J508" i="9"/>
  <c r="I508" i="9"/>
  <c r="K508" i="9" s="1"/>
  <c r="J507" i="9"/>
  <c r="I507" i="9"/>
  <c r="K507" i="9" s="1"/>
  <c r="J506" i="9"/>
  <c r="I506" i="9"/>
  <c r="K506" i="9" s="1"/>
  <c r="J505" i="9"/>
  <c r="I505" i="9"/>
  <c r="K505" i="9" s="1"/>
  <c r="J504" i="9"/>
  <c r="I504" i="9"/>
  <c r="K504" i="9" s="1"/>
  <c r="J503" i="9"/>
  <c r="I503" i="9"/>
  <c r="K503" i="9" s="1"/>
  <c r="J502" i="9"/>
  <c r="I502" i="9"/>
  <c r="K502" i="9" s="1"/>
  <c r="J501" i="9"/>
  <c r="I501" i="9"/>
  <c r="K501" i="9" s="1"/>
  <c r="J500" i="9"/>
  <c r="I500" i="9"/>
  <c r="K500" i="9" s="1"/>
  <c r="J499" i="9"/>
  <c r="I499" i="9"/>
  <c r="J498" i="9"/>
  <c r="I498" i="9"/>
  <c r="J497" i="9"/>
  <c r="I497" i="9"/>
  <c r="J496" i="9"/>
  <c r="I496" i="9"/>
  <c r="K496" i="9" s="1"/>
  <c r="J495" i="9"/>
  <c r="I495" i="9"/>
  <c r="K495" i="9" s="1"/>
  <c r="J494" i="9"/>
  <c r="I494" i="9"/>
  <c r="K494" i="9" s="1"/>
  <c r="J493" i="9"/>
  <c r="I493" i="9"/>
  <c r="K493" i="9" s="1"/>
  <c r="J492" i="9"/>
  <c r="I492" i="9"/>
  <c r="K492" i="9" s="1"/>
  <c r="J491" i="9"/>
  <c r="I491" i="9"/>
  <c r="K491" i="9" s="1"/>
  <c r="J490" i="9"/>
  <c r="I490" i="9"/>
  <c r="K490" i="9" s="1"/>
  <c r="J489" i="9"/>
  <c r="I489" i="9"/>
  <c r="K489" i="9" s="1"/>
  <c r="J488" i="9"/>
  <c r="I488" i="9"/>
  <c r="K488" i="9" s="1"/>
  <c r="J487" i="9"/>
  <c r="I487" i="9"/>
  <c r="K487" i="9" s="1"/>
  <c r="J486" i="9"/>
  <c r="I486" i="9"/>
  <c r="K486" i="9" s="1"/>
  <c r="J485" i="9"/>
  <c r="I485" i="9"/>
  <c r="K485" i="9" s="1"/>
  <c r="J484" i="9"/>
  <c r="I484" i="9"/>
  <c r="K484" i="9" s="1"/>
  <c r="J483" i="9"/>
  <c r="I483" i="9"/>
  <c r="K483" i="9" s="1"/>
  <c r="J482" i="9"/>
  <c r="I482" i="9"/>
  <c r="J481" i="9"/>
  <c r="I481" i="9"/>
  <c r="J480" i="9"/>
  <c r="I480" i="9"/>
  <c r="K480" i="9" s="1"/>
  <c r="J479" i="9"/>
  <c r="I479" i="9"/>
  <c r="K479" i="9" s="1"/>
  <c r="J478" i="9"/>
  <c r="I478" i="9"/>
  <c r="K478" i="9" s="1"/>
  <c r="J477" i="9"/>
  <c r="I477" i="9"/>
  <c r="K477" i="9" s="1"/>
  <c r="J476" i="9"/>
  <c r="I476" i="9"/>
  <c r="K476" i="9" s="1"/>
  <c r="J475" i="9"/>
  <c r="I475" i="9"/>
  <c r="K475" i="9" s="1"/>
  <c r="J474" i="9"/>
  <c r="I474" i="9"/>
  <c r="J473" i="9"/>
  <c r="I473" i="9"/>
  <c r="J472" i="9"/>
  <c r="I472" i="9"/>
  <c r="K472" i="9" s="1"/>
  <c r="J471" i="9"/>
  <c r="I471" i="9"/>
  <c r="K471" i="9" s="1"/>
  <c r="J470" i="9"/>
  <c r="I470" i="9"/>
  <c r="K470" i="9" s="1"/>
  <c r="J469" i="9"/>
  <c r="I469" i="9"/>
  <c r="K469" i="9" s="1"/>
  <c r="J468" i="9"/>
  <c r="I468" i="9"/>
  <c r="K468" i="9" s="1"/>
  <c r="J467" i="9"/>
  <c r="I467" i="9"/>
  <c r="K467" i="9" s="1"/>
  <c r="J466" i="9"/>
  <c r="I466" i="9"/>
  <c r="J465" i="9"/>
  <c r="I465" i="9"/>
  <c r="J464" i="9"/>
  <c r="I464" i="9"/>
  <c r="N463" i="9"/>
  <c r="N462" i="9"/>
  <c r="N461" i="9"/>
  <c r="N460" i="9"/>
  <c r="N459" i="9"/>
  <c r="L459" i="9"/>
  <c r="N458" i="9"/>
  <c r="L458" i="9"/>
  <c r="N457" i="9"/>
  <c r="L457" i="9"/>
  <c r="N456" i="9"/>
  <c r="L456" i="9"/>
  <c r="O456" i="9" s="1"/>
  <c r="N455" i="9"/>
  <c r="L455" i="9"/>
  <c r="J455" i="9"/>
  <c r="I455" i="9"/>
  <c r="J454" i="9"/>
  <c r="J453" i="9"/>
  <c r="J452" i="9"/>
  <c r="I452" i="9"/>
  <c r="K452" i="9" s="1"/>
  <c r="J451" i="9"/>
  <c r="I451" i="9"/>
  <c r="K451" i="9" s="1"/>
  <c r="J450" i="9"/>
  <c r="I450" i="9"/>
  <c r="J449" i="9"/>
  <c r="I449" i="9"/>
  <c r="J448" i="9"/>
  <c r="J447" i="9"/>
  <c r="J446" i="9"/>
  <c r="J445" i="9"/>
  <c r="N443" i="9"/>
  <c r="N442" i="9"/>
  <c r="N441" i="9"/>
  <c r="N440" i="9"/>
  <c r="N439" i="9"/>
  <c r="L439" i="9"/>
  <c r="N438" i="9"/>
  <c r="L438" i="9"/>
  <c r="O438" i="9" s="1"/>
  <c r="N437" i="9"/>
  <c r="L437" i="9"/>
  <c r="N436" i="9"/>
  <c r="L436" i="9"/>
  <c r="O436" i="9" s="1"/>
  <c r="N435" i="9"/>
  <c r="L435" i="9"/>
  <c r="J435" i="9"/>
  <c r="I435" i="9"/>
  <c r="J434" i="9"/>
  <c r="J433" i="9"/>
  <c r="J432" i="9"/>
  <c r="I432" i="9"/>
  <c r="J431" i="9"/>
  <c r="I431" i="9"/>
  <c r="J430" i="9"/>
  <c r="I430" i="9"/>
  <c r="J429" i="9"/>
  <c r="I429" i="9"/>
  <c r="J428" i="9"/>
  <c r="I428" i="9"/>
  <c r="J427" i="9"/>
  <c r="I427" i="9"/>
  <c r="J426" i="9"/>
  <c r="I426" i="9"/>
  <c r="J425" i="9"/>
  <c r="I425" i="9"/>
  <c r="J424" i="9"/>
  <c r="I424" i="9"/>
  <c r="J423" i="9"/>
  <c r="I423" i="9"/>
  <c r="J422" i="9"/>
  <c r="I422" i="9"/>
  <c r="J421" i="9"/>
  <c r="I421" i="9"/>
  <c r="J420" i="9"/>
  <c r="I420" i="9"/>
  <c r="J419" i="9"/>
  <c r="I419" i="9"/>
  <c r="J418" i="9"/>
  <c r="I418" i="9"/>
  <c r="J417" i="9"/>
  <c r="I417" i="9"/>
  <c r="J416" i="9"/>
  <c r="I416" i="9"/>
  <c r="J415" i="9"/>
  <c r="J414" i="9"/>
  <c r="J413" i="9"/>
  <c r="J412" i="9"/>
  <c r="N410" i="9"/>
  <c r="N409" i="9"/>
  <c r="N408" i="9"/>
  <c r="N407" i="9"/>
  <c r="N406" i="9"/>
  <c r="L406" i="9"/>
  <c r="N405" i="9"/>
  <c r="L405" i="9"/>
  <c r="O405" i="9" s="1"/>
  <c r="N404" i="9"/>
  <c r="L404" i="9"/>
  <c r="N403" i="9"/>
  <c r="L403" i="9"/>
  <c r="O403" i="9" s="1"/>
  <c r="J402" i="9"/>
  <c r="I402" i="9"/>
  <c r="N401" i="9"/>
  <c r="L401" i="9"/>
  <c r="J401" i="9"/>
  <c r="I401" i="9"/>
  <c r="J400" i="9"/>
  <c r="J399" i="9"/>
  <c r="J398" i="9"/>
  <c r="I398" i="9"/>
  <c r="J397" i="9"/>
  <c r="I397" i="9"/>
  <c r="J396" i="9"/>
  <c r="I396" i="9"/>
  <c r="J394" i="9"/>
  <c r="J393" i="9"/>
  <c r="J392" i="9"/>
  <c r="J391" i="9"/>
  <c r="N389" i="9"/>
  <c r="N388" i="9"/>
  <c r="N387" i="9"/>
  <c r="N386" i="9"/>
  <c r="N385" i="9"/>
  <c r="L385" i="9"/>
  <c r="N384" i="9"/>
  <c r="L384" i="9"/>
  <c r="O384" i="9" s="1"/>
  <c r="N383" i="9"/>
  <c r="L383" i="9"/>
  <c r="N382" i="9"/>
  <c r="L382" i="9"/>
  <c r="O382" i="9" s="1"/>
  <c r="J381" i="9"/>
  <c r="I381" i="9"/>
  <c r="N380" i="9"/>
  <c r="L380" i="9"/>
  <c r="J380" i="9"/>
  <c r="I380" i="9"/>
  <c r="J379" i="9"/>
  <c r="J378" i="9"/>
  <c r="J377" i="9"/>
  <c r="I377" i="9"/>
  <c r="J376" i="9"/>
  <c r="I376" i="9"/>
  <c r="J375" i="9"/>
  <c r="I375" i="9"/>
  <c r="J374" i="9"/>
  <c r="I374" i="9"/>
  <c r="J373" i="9"/>
  <c r="I373" i="9"/>
  <c r="K373" i="9" s="1"/>
  <c r="J372" i="9"/>
  <c r="I372" i="9"/>
  <c r="J371" i="9"/>
  <c r="I371" i="9"/>
  <c r="K371" i="9" s="1"/>
  <c r="J370" i="9"/>
  <c r="I370" i="9"/>
  <c r="J369" i="9"/>
  <c r="I369" i="9"/>
  <c r="J368" i="9"/>
  <c r="I368" i="9"/>
  <c r="J367" i="9"/>
  <c r="J366" i="9"/>
  <c r="J365" i="9"/>
  <c r="I365" i="9"/>
  <c r="K365" i="9" s="1"/>
  <c r="J364" i="9"/>
  <c r="J363" i="9"/>
  <c r="J362" i="9"/>
  <c r="J361" i="9"/>
  <c r="J360" i="9"/>
  <c r="N358" i="9"/>
  <c r="N357" i="9"/>
  <c r="N356" i="9"/>
  <c r="N355" i="9"/>
  <c r="N354" i="9"/>
  <c r="L354" i="9"/>
  <c r="N353" i="9"/>
  <c r="L353" i="9"/>
  <c r="O353" i="9" s="1"/>
  <c r="N352" i="9"/>
  <c r="L352" i="9"/>
  <c r="N351" i="9"/>
  <c r="L351" i="9"/>
  <c r="O351" i="9" s="1"/>
  <c r="J350" i="9"/>
  <c r="I350" i="9"/>
  <c r="N349" i="9"/>
  <c r="L349" i="9"/>
  <c r="J349" i="9"/>
  <c r="I349" i="9"/>
  <c r="N347" i="9"/>
  <c r="L347" i="9"/>
  <c r="J346" i="9"/>
  <c r="I346" i="9"/>
  <c r="K346" i="9" s="1"/>
  <c r="J345" i="9"/>
  <c r="I345" i="9"/>
  <c r="J344" i="9"/>
  <c r="I344" i="9"/>
  <c r="K344" i="9" s="1"/>
  <c r="J343" i="9"/>
  <c r="I343" i="9"/>
  <c r="J342" i="9"/>
  <c r="I342" i="9"/>
  <c r="K342" i="9" s="1"/>
  <c r="J341" i="9"/>
  <c r="I341" i="9"/>
  <c r="J340" i="9"/>
  <c r="I340" i="9"/>
  <c r="J339" i="9"/>
  <c r="I339" i="9"/>
  <c r="K339" i="9" s="1"/>
  <c r="N337" i="9"/>
  <c r="L337" i="9"/>
  <c r="L335" i="9"/>
  <c r="L334" i="9"/>
  <c r="N333" i="9"/>
  <c r="M333" i="9"/>
  <c r="O332" i="9"/>
  <c r="P330" i="9"/>
  <c r="O330" i="9"/>
  <c r="N330" i="9"/>
  <c r="M330" i="9"/>
  <c r="L330" i="9"/>
  <c r="J328" i="9"/>
  <c r="I328" i="9"/>
  <c r="J326" i="9"/>
  <c r="J325" i="9"/>
  <c r="J324" i="9"/>
  <c r="I324" i="9"/>
  <c r="K324" i="9" s="1"/>
  <c r="J323" i="9"/>
  <c r="J322" i="9"/>
  <c r="J321" i="9"/>
  <c r="J320" i="9"/>
  <c r="N318" i="9"/>
  <c r="L318" i="9"/>
  <c r="O318" i="9" s="1"/>
  <c r="L316" i="9"/>
  <c r="L315" i="9"/>
  <c r="N314" i="9"/>
  <c r="M314" i="9"/>
  <c r="P314" i="9" s="1"/>
  <c r="O313" i="9"/>
  <c r="N311" i="9"/>
  <c r="M311" i="9"/>
  <c r="L311" i="9"/>
  <c r="J309" i="9"/>
  <c r="I309" i="9"/>
  <c r="K309" i="9" s="1"/>
  <c r="J308" i="9"/>
  <c r="J307" i="9"/>
  <c r="J306" i="9"/>
  <c r="I306" i="9"/>
  <c r="K306" i="9" s="1"/>
  <c r="J304" i="9"/>
  <c r="I304" i="9"/>
  <c r="K304" i="9" s="1"/>
  <c r="J303" i="9"/>
  <c r="J302" i="9"/>
  <c r="J301" i="9"/>
  <c r="J300" i="9"/>
  <c r="N298" i="9"/>
  <c r="L298" i="9"/>
  <c r="O298" i="9" s="1"/>
  <c r="L296" i="9"/>
  <c r="L295" i="9"/>
  <c r="N294" i="9"/>
  <c r="M294" i="9"/>
  <c r="P294" i="9" s="1"/>
  <c r="O293" i="9"/>
  <c r="O291" i="9"/>
  <c r="N291" i="9"/>
  <c r="M291" i="9"/>
  <c r="L291" i="9"/>
  <c r="J289" i="9"/>
  <c r="I289" i="9"/>
  <c r="K289" i="9" s="1"/>
  <c r="J287" i="9"/>
  <c r="J286" i="9"/>
  <c r="J285" i="9"/>
  <c r="I285" i="9"/>
  <c r="K285" i="9" s="1"/>
  <c r="J284" i="9"/>
  <c r="J283" i="9"/>
  <c r="J282" i="9"/>
  <c r="J281" i="9"/>
  <c r="N279" i="9"/>
  <c r="L279" i="9"/>
  <c r="O279" i="9" s="1"/>
  <c r="L277" i="9"/>
  <c r="L276" i="9"/>
  <c r="N275" i="9"/>
  <c r="M275" i="9"/>
  <c r="M273" i="9" s="1"/>
  <c r="O274" i="9"/>
  <c r="P272" i="9"/>
  <c r="N272" i="9"/>
  <c r="M272" i="9"/>
  <c r="L272" i="9"/>
  <c r="J270" i="9"/>
  <c r="I270" i="9"/>
  <c r="K270" i="9" s="1"/>
  <c r="J269" i="9"/>
  <c r="J268" i="9"/>
  <c r="J267" i="9"/>
  <c r="I267" i="9"/>
  <c r="J266" i="9"/>
  <c r="I266" i="9"/>
  <c r="J265" i="9"/>
  <c r="I265" i="9"/>
  <c r="J264" i="9"/>
  <c r="I264" i="9"/>
  <c r="J263" i="9"/>
  <c r="J262" i="9"/>
  <c r="J261" i="9"/>
  <c r="J260" i="9"/>
  <c r="N258" i="9"/>
  <c r="L258" i="9"/>
  <c r="O258" i="9" s="1"/>
  <c r="L256" i="9"/>
  <c r="L255" i="9"/>
  <c r="N254" i="9"/>
  <c r="M254" i="9"/>
  <c r="O253" i="9"/>
  <c r="N251" i="9"/>
  <c r="M251" i="9"/>
  <c r="P251" i="9" s="1"/>
  <c r="L251" i="9"/>
  <c r="J249" i="9"/>
  <c r="I249" i="9"/>
  <c r="J246" i="9"/>
  <c r="J245" i="9"/>
  <c r="J244" i="9"/>
  <c r="I244" i="9"/>
  <c r="K244" i="9" s="1"/>
  <c r="J243" i="9"/>
  <c r="J242" i="9"/>
  <c r="J241" i="9"/>
  <c r="J240" i="9"/>
  <c r="J238" i="9"/>
  <c r="I238" i="9"/>
  <c r="K238" i="9" s="1"/>
  <c r="J237" i="9"/>
  <c r="J236" i="9"/>
  <c r="J235" i="9"/>
  <c r="I235" i="9"/>
  <c r="J234" i="9"/>
  <c r="J233" i="9"/>
  <c r="J232" i="9"/>
  <c r="J231" i="9"/>
  <c r="J229" i="9"/>
  <c r="I229" i="9"/>
  <c r="N228" i="9"/>
  <c r="L228" i="9"/>
  <c r="O228" i="9" s="1"/>
  <c r="L226" i="9"/>
  <c r="L225" i="9"/>
  <c r="N224" i="9"/>
  <c r="M224" i="9"/>
  <c r="O223" i="9"/>
  <c r="P221" i="9"/>
  <c r="O221" i="9"/>
  <c r="N221" i="9"/>
  <c r="M221" i="9"/>
  <c r="L221" i="9"/>
  <c r="J219" i="9"/>
  <c r="I219" i="9"/>
  <c r="J218" i="9"/>
  <c r="J217" i="9"/>
  <c r="J216" i="9"/>
  <c r="I216" i="9"/>
  <c r="K216" i="9" s="1"/>
  <c r="J215" i="9"/>
  <c r="I215" i="9"/>
  <c r="K215" i="9" s="1"/>
  <c r="J213" i="9"/>
  <c r="I213" i="9"/>
  <c r="K213" i="9" s="1"/>
  <c r="J212" i="9"/>
  <c r="J211" i="9"/>
  <c r="J210" i="9"/>
  <c r="J209" i="9"/>
  <c r="J204" i="9"/>
  <c r="I204" i="9"/>
  <c r="K204" i="9" s="1"/>
  <c r="J203" i="9"/>
  <c r="J202" i="9"/>
  <c r="J201" i="9"/>
  <c r="I201" i="9"/>
  <c r="K201" i="9" s="1"/>
  <c r="J200" i="9"/>
  <c r="I200" i="9"/>
  <c r="J199" i="9"/>
  <c r="I199" i="9"/>
  <c r="J197" i="9"/>
  <c r="J196" i="9"/>
  <c r="J195" i="9"/>
  <c r="J194" i="9"/>
  <c r="J189" i="9"/>
  <c r="I189" i="9"/>
  <c r="J188" i="9"/>
  <c r="J187" i="9"/>
  <c r="J186" i="9"/>
  <c r="I186" i="9"/>
  <c r="K186" i="9" s="1"/>
  <c r="J185" i="9"/>
  <c r="I185" i="9"/>
  <c r="K185" i="9" s="1"/>
  <c r="J184" i="9"/>
  <c r="J183" i="9"/>
  <c r="J182" i="9"/>
  <c r="J181" i="9"/>
  <c r="J176" i="9"/>
  <c r="I176" i="9"/>
  <c r="K176" i="9" s="1"/>
  <c r="J175" i="9"/>
  <c r="J174" i="9"/>
  <c r="J173" i="9"/>
  <c r="I173" i="9"/>
  <c r="J172" i="9"/>
  <c r="J171" i="9"/>
  <c r="J170" i="9"/>
  <c r="J169" i="9"/>
  <c r="J164" i="9"/>
  <c r="I164" i="9"/>
  <c r="J163" i="9"/>
  <c r="J162" i="9"/>
  <c r="J161" i="9"/>
  <c r="J160" i="9"/>
  <c r="J159" i="9"/>
  <c r="J158" i="9"/>
  <c r="I158" i="9"/>
  <c r="J157" i="9"/>
  <c r="J156" i="9"/>
  <c r="J155" i="9"/>
  <c r="J154" i="9"/>
  <c r="J149" i="9"/>
  <c r="I149" i="9"/>
  <c r="N148" i="9"/>
  <c r="L148" i="9"/>
  <c r="O148" i="9" s="1"/>
  <c r="L146" i="9"/>
  <c r="L145" i="9"/>
  <c r="N144" i="9"/>
  <c r="M144" i="9"/>
  <c r="M142" i="9" s="1"/>
  <c r="O143" i="9"/>
  <c r="N141" i="9"/>
  <c r="M141" i="9"/>
  <c r="P141" i="9" s="1"/>
  <c r="L141" i="9"/>
  <c r="J138" i="9"/>
  <c r="I138" i="9"/>
  <c r="K138" i="9" s="1"/>
  <c r="J135" i="9"/>
  <c r="J134" i="9"/>
  <c r="J133" i="9"/>
  <c r="I133" i="9"/>
  <c r="K133" i="9" s="1"/>
  <c r="J132" i="9"/>
  <c r="I132" i="9"/>
  <c r="K132" i="9" s="1"/>
  <c r="J131" i="9"/>
  <c r="J130" i="9"/>
  <c r="J129" i="9"/>
  <c r="J128" i="9"/>
  <c r="N126" i="9"/>
  <c r="L126" i="9"/>
  <c r="O126" i="9" s="1"/>
  <c r="L124" i="9"/>
  <c r="L123" i="9"/>
  <c r="N122" i="9"/>
  <c r="M122" i="9"/>
  <c r="O121" i="9"/>
  <c r="N119" i="9"/>
  <c r="M119" i="9"/>
  <c r="L119" i="9"/>
  <c r="O119" i="9" s="1"/>
  <c r="J117" i="9"/>
  <c r="I117" i="9"/>
  <c r="K117" i="9" s="1"/>
  <c r="J115" i="9"/>
  <c r="J114" i="9"/>
  <c r="J113" i="9"/>
  <c r="I113" i="9"/>
  <c r="J112" i="9"/>
  <c r="I112" i="9"/>
  <c r="J111" i="9"/>
  <c r="I111" i="9"/>
  <c r="J110" i="9"/>
  <c r="I110" i="9"/>
  <c r="J109" i="9"/>
  <c r="I109" i="9"/>
  <c r="J108" i="9"/>
  <c r="I108" i="9"/>
  <c r="J107" i="9"/>
  <c r="J106" i="9"/>
  <c r="J105" i="9"/>
  <c r="J104" i="9"/>
  <c r="N102" i="9"/>
  <c r="L102" i="9"/>
  <c r="L100" i="9"/>
  <c r="L99" i="9"/>
  <c r="N98" i="9"/>
  <c r="M98" i="9"/>
  <c r="O97" i="9"/>
  <c r="N95" i="9"/>
  <c r="M95" i="9"/>
  <c r="P95" i="9" s="1"/>
  <c r="L95" i="9"/>
  <c r="J93" i="9"/>
  <c r="I93" i="9"/>
  <c r="J92" i="9"/>
  <c r="I92" i="9"/>
  <c r="J90" i="9"/>
  <c r="J89" i="9"/>
  <c r="J88" i="9"/>
  <c r="I88" i="9"/>
  <c r="J87" i="9"/>
  <c r="I87" i="9"/>
  <c r="K87" i="9" s="1"/>
  <c r="J86" i="9"/>
  <c r="I86" i="9"/>
  <c r="K86" i="9" s="1"/>
  <c r="J85" i="9"/>
  <c r="I85" i="9"/>
  <c r="K85" i="9" s="1"/>
  <c r="J84" i="9"/>
  <c r="I84" i="9"/>
  <c r="K84" i="9" s="1"/>
  <c r="J83" i="9"/>
  <c r="I83" i="9"/>
  <c r="J82" i="9"/>
  <c r="I82" i="9"/>
  <c r="J81" i="9"/>
  <c r="I81" i="9"/>
  <c r="J80" i="9"/>
  <c r="I80" i="9"/>
  <c r="J79" i="9"/>
  <c r="J78" i="9"/>
  <c r="J77" i="9"/>
  <c r="J76" i="9"/>
  <c r="N74" i="9"/>
  <c r="L74" i="9"/>
  <c r="O74" i="9" s="1"/>
  <c r="L72" i="9"/>
  <c r="L71" i="9"/>
  <c r="N70" i="9"/>
  <c r="M70" i="9"/>
  <c r="M68" i="9" s="1"/>
  <c r="O69" i="9"/>
  <c r="N67" i="9"/>
  <c r="M67" i="9"/>
  <c r="L67" i="9"/>
  <c r="O67" i="9" s="1"/>
  <c r="J65" i="9"/>
  <c r="I65" i="9"/>
  <c r="J64" i="9"/>
  <c r="I64" i="9"/>
  <c r="N61" i="9"/>
  <c r="L61" i="9"/>
  <c r="O61" i="9" s="1"/>
  <c r="L59" i="9"/>
  <c r="L58" i="9"/>
  <c r="N57" i="9"/>
  <c r="M57" i="9"/>
  <c r="M55" i="9" s="1"/>
  <c r="N54" i="9"/>
  <c r="M54" i="9"/>
  <c r="P54" i="9" s="1"/>
  <c r="L54" i="9"/>
  <c r="N49" i="9"/>
  <c r="L49" i="9"/>
  <c r="L47" i="9"/>
  <c r="L46" i="9"/>
  <c r="N45" i="9"/>
  <c r="M45" i="9"/>
  <c r="N42" i="9"/>
  <c r="M42" i="9"/>
  <c r="L42" i="9"/>
  <c r="O42" i="9" s="1"/>
  <c r="P36" i="9"/>
  <c r="O36" i="9"/>
  <c r="P35" i="9"/>
  <c r="O35" i="9"/>
  <c r="P34" i="9"/>
  <c r="M34" i="9"/>
  <c r="M33" i="9"/>
  <c r="P32" i="9"/>
  <c r="M32" i="9"/>
  <c r="P31" i="9"/>
  <c r="M31" i="9"/>
  <c r="M29" i="9" s="1"/>
  <c r="M30" i="9"/>
  <c r="P30" i="9" s="1"/>
  <c r="P25" i="9"/>
  <c r="O25" i="9"/>
  <c r="N25" i="9"/>
  <c r="M25" i="9"/>
  <c r="L25" i="9"/>
  <c r="N24" i="9"/>
  <c r="M24" i="9"/>
  <c r="P23" i="9"/>
  <c r="N23" i="9"/>
  <c r="M23" i="9"/>
  <c r="N21" i="9"/>
  <c r="M21" i="9"/>
  <c r="M19" i="9" s="1"/>
  <c r="L21" i="9"/>
  <c r="N19" i="9"/>
  <c r="N15" i="9"/>
  <c r="M15" i="9"/>
  <c r="P15" i="9" s="1"/>
  <c r="L15" i="9"/>
  <c r="O15" i="9" s="1"/>
  <c r="J635" i="8"/>
  <c r="I635" i="8"/>
  <c r="J634" i="8"/>
  <c r="I634" i="8"/>
  <c r="J633" i="8"/>
  <c r="I633" i="8"/>
  <c r="J632" i="8"/>
  <c r="I632" i="8"/>
  <c r="J631" i="8"/>
  <c r="I631" i="8"/>
  <c r="J630" i="8"/>
  <c r="I630" i="8"/>
  <c r="J629" i="8"/>
  <c r="I629" i="8"/>
  <c r="J628" i="8"/>
  <c r="I628" i="8"/>
  <c r="J626" i="8"/>
  <c r="I626" i="8"/>
  <c r="J625" i="8"/>
  <c r="I625" i="8"/>
  <c r="J624" i="8"/>
  <c r="I624" i="8"/>
  <c r="J623" i="8"/>
  <c r="I623" i="8"/>
  <c r="J622" i="8"/>
  <c r="I622" i="8"/>
  <c r="J621" i="8"/>
  <c r="I621" i="8"/>
  <c r="J620" i="8"/>
  <c r="I620" i="8"/>
  <c r="K622" i="8" s="1"/>
  <c r="J619" i="8"/>
  <c r="I619" i="8"/>
  <c r="J618" i="8"/>
  <c r="I618" i="8"/>
  <c r="J617" i="8"/>
  <c r="I617" i="8"/>
  <c r="J616" i="8"/>
  <c r="I616" i="8"/>
  <c r="J615" i="8"/>
  <c r="I615" i="8"/>
  <c r="J614" i="8"/>
  <c r="I614" i="8"/>
  <c r="J613" i="8"/>
  <c r="I613" i="8"/>
  <c r="J612" i="8"/>
  <c r="I612" i="8"/>
  <c r="J611" i="8"/>
  <c r="I611" i="8"/>
  <c r="J610" i="8"/>
  <c r="J609" i="8"/>
  <c r="J608" i="8"/>
  <c r="J607" i="8"/>
  <c r="N605" i="8"/>
  <c r="N604" i="8"/>
  <c r="N603" i="8"/>
  <c r="N602" i="8"/>
  <c r="N601" i="8"/>
  <c r="L601" i="8"/>
  <c r="N600" i="8"/>
  <c r="L600" i="8"/>
  <c r="O600" i="8" s="1"/>
  <c r="N599" i="8"/>
  <c r="L599" i="8"/>
  <c r="N598" i="8"/>
  <c r="L598" i="8"/>
  <c r="O598" i="8" s="1"/>
  <c r="N597" i="8"/>
  <c r="L597" i="8"/>
  <c r="J597" i="8"/>
  <c r="I597" i="8"/>
  <c r="J596" i="8"/>
  <c r="I596" i="8"/>
  <c r="K596" i="8" s="1"/>
  <c r="J595" i="8"/>
  <c r="I595" i="8"/>
  <c r="K595" i="8" s="1"/>
  <c r="J594" i="8"/>
  <c r="I594" i="8"/>
  <c r="K594" i="8" s="1"/>
  <c r="J593" i="8"/>
  <c r="I593" i="8"/>
  <c r="K593" i="8" s="1"/>
  <c r="J592" i="8"/>
  <c r="I592" i="8"/>
  <c r="K592" i="8" s="1"/>
  <c r="J591" i="8"/>
  <c r="I591" i="8"/>
  <c r="K591" i="8" s="1"/>
  <c r="J590" i="8"/>
  <c r="I590" i="8"/>
  <c r="K590" i="8" s="1"/>
  <c r="J589" i="8"/>
  <c r="I589" i="8"/>
  <c r="K589" i="8" s="1"/>
  <c r="N588" i="8"/>
  <c r="N587" i="8"/>
  <c r="N586" i="8"/>
  <c r="N585" i="8"/>
  <c r="N584" i="8"/>
  <c r="L584" i="8"/>
  <c r="O584" i="8" s="1"/>
  <c r="N583" i="8"/>
  <c r="L583" i="8"/>
  <c r="O583" i="8" s="1"/>
  <c r="N582" i="8"/>
  <c r="L582" i="8"/>
  <c r="O582" i="8" s="1"/>
  <c r="N581" i="8"/>
  <c r="L581" i="8"/>
  <c r="O581" i="8" s="1"/>
  <c r="N580" i="8"/>
  <c r="L580" i="8"/>
  <c r="O580" i="8" s="1"/>
  <c r="J580" i="8"/>
  <c r="I580" i="8"/>
  <c r="K580" i="8" s="1"/>
  <c r="J579" i="8"/>
  <c r="I579" i="8"/>
  <c r="K579" i="8" s="1"/>
  <c r="J578" i="8"/>
  <c r="I578" i="8"/>
  <c r="K578" i="8" s="1"/>
  <c r="J577" i="8"/>
  <c r="I577" i="8"/>
  <c r="K577" i="8" s="1"/>
  <c r="J576" i="8"/>
  <c r="I576" i="8"/>
  <c r="K576" i="8" s="1"/>
  <c r="J575" i="8"/>
  <c r="I575" i="8"/>
  <c r="K575" i="8" s="1"/>
  <c r="J573" i="8"/>
  <c r="I573" i="8"/>
  <c r="N572" i="8"/>
  <c r="N571" i="8"/>
  <c r="N570" i="8"/>
  <c r="N569" i="8"/>
  <c r="N568" i="8"/>
  <c r="L568" i="8"/>
  <c r="N567" i="8"/>
  <c r="L567" i="8"/>
  <c r="N566" i="8"/>
  <c r="L566" i="8"/>
  <c r="N565" i="8"/>
  <c r="L565" i="8"/>
  <c r="O565" i="8" s="1"/>
  <c r="N564" i="8"/>
  <c r="L564" i="8"/>
  <c r="J564" i="8"/>
  <c r="I564" i="8"/>
  <c r="J561" i="8"/>
  <c r="I561" i="8"/>
  <c r="K561" i="8" s="1"/>
  <c r="J560" i="8"/>
  <c r="I560" i="8"/>
  <c r="K560" i="8" s="1"/>
  <c r="N559" i="8"/>
  <c r="N558" i="8"/>
  <c r="N557" i="8"/>
  <c r="N556" i="8"/>
  <c r="N555" i="8"/>
  <c r="L555" i="8"/>
  <c r="O555" i="8" s="1"/>
  <c r="N554" i="8"/>
  <c r="L554" i="8"/>
  <c r="O554" i="8" s="1"/>
  <c r="N553" i="8"/>
  <c r="L553" i="8"/>
  <c r="O553" i="8" s="1"/>
  <c r="N552" i="8"/>
  <c r="L552" i="8"/>
  <c r="O552" i="8" s="1"/>
  <c r="N551" i="8"/>
  <c r="L551" i="8"/>
  <c r="O551" i="8" s="1"/>
  <c r="J551" i="8"/>
  <c r="I551" i="8"/>
  <c r="K551" i="8" s="1"/>
  <c r="J550" i="8"/>
  <c r="J549" i="8"/>
  <c r="J548" i="8"/>
  <c r="I548" i="8"/>
  <c r="K548" i="8" s="1"/>
  <c r="J547" i="8"/>
  <c r="I547" i="8"/>
  <c r="J546" i="8"/>
  <c r="J545" i="8"/>
  <c r="J544" i="8"/>
  <c r="J543" i="8"/>
  <c r="N541" i="8"/>
  <c r="N540" i="8"/>
  <c r="N539" i="8"/>
  <c r="N538" i="8"/>
  <c r="N537" i="8"/>
  <c r="L537" i="8"/>
  <c r="N536" i="8"/>
  <c r="L536" i="8"/>
  <c r="O536" i="8" s="1"/>
  <c r="N535" i="8"/>
  <c r="L535" i="8"/>
  <c r="N534" i="8"/>
  <c r="L534" i="8"/>
  <c r="O534" i="8" s="1"/>
  <c r="N533" i="8"/>
  <c r="L533" i="8"/>
  <c r="J533" i="8"/>
  <c r="I533" i="8"/>
  <c r="J532" i="8"/>
  <c r="I532" i="8"/>
  <c r="J531" i="8"/>
  <c r="I531" i="8"/>
  <c r="J530" i="8"/>
  <c r="I530" i="8"/>
  <c r="J529" i="8"/>
  <c r="I529" i="8"/>
  <c r="J528" i="8"/>
  <c r="I528" i="8"/>
  <c r="J527" i="8"/>
  <c r="I527" i="8"/>
  <c r="J526" i="8"/>
  <c r="I526" i="8"/>
  <c r="J525" i="8"/>
  <c r="I525" i="8"/>
  <c r="J524" i="8"/>
  <c r="I524" i="8"/>
  <c r="J523" i="8"/>
  <c r="I523" i="8"/>
  <c r="J522" i="8"/>
  <c r="I522" i="8"/>
  <c r="J521" i="8"/>
  <c r="I521" i="8"/>
  <c r="J520" i="8"/>
  <c r="I520" i="8"/>
  <c r="J519" i="8"/>
  <c r="I519" i="8"/>
  <c r="J518" i="8"/>
  <c r="I518" i="8"/>
  <c r="J517" i="8"/>
  <c r="I517" i="8"/>
  <c r="J516" i="8"/>
  <c r="I516" i="8"/>
  <c r="J515" i="8"/>
  <c r="I515" i="8"/>
  <c r="K515" i="8" s="1"/>
  <c r="J514" i="8"/>
  <c r="I514" i="8"/>
  <c r="K514" i="8" s="1"/>
  <c r="J513" i="8"/>
  <c r="I513" i="8"/>
  <c r="K513" i="8" s="1"/>
  <c r="J512" i="8"/>
  <c r="I512" i="8"/>
  <c r="K512" i="8" s="1"/>
  <c r="J511" i="8"/>
  <c r="I511" i="8"/>
  <c r="K511" i="8" s="1"/>
  <c r="J510" i="8"/>
  <c r="I510" i="8"/>
  <c r="K510" i="8" s="1"/>
  <c r="J509" i="8"/>
  <c r="I509" i="8"/>
  <c r="K509" i="8" s="1"/>
  <c r="J508" i="8"/>
  <c r="I508" i="8"/>
  <c r="K508" i="8" s="1"/>
  <c r="J507" i="8"/>
  <c r="I507" i="8"/>
  <c r="K507" i="8" s="1"/>
  <c r="J506" i="8"/>
  <c r="I506" i="8"/>
  <c r="K506" i="8" s="1"/>
  <c r="J505" i="8"/>
  <c r="I505" i="8"/>
  <c r="K505" i="8" s="1"/>
  <c r="J504" i="8"/>
  <c r="I504" i="8"/>
  <c r="K504" i="8" s="1"/>
  <c r="J503" i="8"/>
  <c r="I503" i="8"/>
  <c r="K503" i="8" s="1"/>
  <c r="J502" i="8"/>
  <c r="I502" i="8"/>
  <c r="K502" i="8" s="1"/>
  <c r="J501" i="8"/>
  <c r="I501" i="8"/>
  <c r="K501" i="8" s="1"/>
  <c r="J500" i="8"/>
  <c r="I500" i="8"/>
  <c r="K500" i="8" s="1"/>
  <c r="J499" i="8"/>
  <c r="I499" i="8"/>
  <c r="J498" i="8"/>
  <c r="I498" i="8"/>
  <c r="J497" i="8"/>
  <c r="I497" i="8"/>
  <c r="J496" i="8"/>
  <c r="I496" i="8"/>
  <c r="K496" i="8" s="1"/>
  <c r="J495" i="8"/>
  <c r="I495" i="8"/>
  <c r="K495" i="8" s="1"/>
  <c r="J494" i="8"/>
  <c r="I494" i="8"/>
  <c r="K494" i="8" s="1"/>
  <c r="J493" i="8"/>
  <c r="I493" i="8"/>
  <c r="K493" i="8" s="1"/>
  <c r="J492" i="8"/>
  <c r="I492" i="8"/>
  <c r="K492" i="8" s="1"/>
  <c r="J491" i="8"/>
  <c r="I491" i="8"/>
  <c r="K491" i="8" s="1"/>
  <c r="J490" i="8"/>
  <c r="I490" i="8"/>
  <c r="K490" i="8" s="1"/>
  <c r="J489" i="8"/>
  <c r="I489" i="8"/>
  <c r="K489" i="8" s="1"/>
  <c r="J488" i="8"/>
  <c r="I488" i="8"/>
  <c r="K488" i="8" s="1"/>
  <c r="J487" i="8"/>
  <c r="I487" i="8"/>
  <c r="K487" i="8" s="1"/>
  <c r="J486" i="8"/>
  <c r="I486" i="8"/>
  <c r="K486" i="8" s="1"/>
  <c r="J485" i="8"/>
  <c r="I485" i="8"/>
  <c r="K485" i="8" s="1"/>
  <c r="J484" i="8"/>
  <c r="I484" i="8"/>
  <c r="K484" i="8" s="1"/>
  <c r="J483" i="8"/>
  <c r="I483" i="8"/>
  <c r="K483" i="8" s="1"/>
  <c r="J482" i="8"/>
  <c r="I482" i="8"/>
  <c r="J481" i="8"/>
  <c r="I481" i="8"/>
  <c r="J480" i="8"/>
  <c r="I480" i="8"/>
  <c r="K480" i="8" s="1"/>
  <c r="J479" i="8"/>
  <c r="I479" i="8"/>
  <c r="K479" i="8" s="1"/>
  <c r="J478" i="8"/>
  <c r="I478" i="8"/>
  <c r="K478" i="8" s="1"/>
  <c r="J477" i="8"/>
  <c r="I477" i="8"/>
  <c r="K477" i="8" s="1"/>
  <c r="J476" i="8"/>
  <c r="I476" i="8"/>
  <c r="K476" i="8" s="1"/>
  <c r="J475" i="8"/>
  <c r="I475" i="8"/>
  <c r="K475" i="8" s="1"/>
  <c r="J474" i="8"/>
  <c r="I474" i="8"/>
  <c r="J473" i="8"/>
  <c r="I473" i="8"/>
  <c r="J472" i="8"/>
  <c r="I472" i="8"/>
  <c r="K472" i="8" s="1"/>
  <c r="J471" i="8"/>
  <c r="I471" i="8"/>
  <c r="K471" i="8" s="1"/>
  <c r="J470" i="8"/>
  <c r="I470" i="8"/>
  <c r="K470" i="8" s="1"/>
  <c r="J469" i="8"/>
  <c r="I469" i="8"/>
  <c r="K469" i="8" s="1"/>
  <c r="J468" i="8"/>
  <c r="I468" i="8"/>
  <c r="K468" i="8" s="1"/>
  <c r="J467" i="8"/>
  <c r="I467" i="8"/>
  <c r="K467" i="8" s="1"/>
  <c r="J466" i="8"/>
  <c r="I466" i="8"/>
  <c r="J465" i="8"/>
  <c r="I465" i="8"/>
  <c r="J464" i="8"/>
  <c r="I464" i="8"/>
  <c r="N463" i="8"/>
  <c r="N462" i="8"/>
  <c r="N461" i="8"/>
  <c r="N460" i="8"/>
  <c r="N459" i="8"/>
  <c r="L459" i="8"/>
  <c r="N458" i="8"/>
  <c r="L458" i="8"/>
  <c r="O458" i="8" s="1"/>
  <c r="N457" i="8"/>
  <c r="L457" i="8"/>
  <c r="N456" i="8"/>
  <c r="L456" i="8"/>
  <c r="O456" i="8" s="1"/>
  <c r="N455" i="8"/>
  <c r="L455" i="8"/>
  <c r="J455" i="8"/>
  <c r="I455" i="8"/>
  <c r="J454" i="8"/>
  <c r="J453" i="8"/>
  <c r="J452" i="8"/>
  <c r="I452" i="8"/>
  <c r="K452" i="8" s="1"/>
  <c r="J451" i="8"/>
  <c r="I451" i="8"/>
  <c r="K451" i="8" s="1"/>
  <c r="J450" i="8"/>
  <c r="I450" i="8"/>
  <c r="J449" i="8"/>
  <c r="I449" i="8"/>
  <c r="J448" i="8"/>
  <c r="J447" i="8"/>
  <c r="J446" i="8"/>
  <c r="J445" i="8"/>
  <c r="N443" i="8"/>
  <c r="N442" i="8"/>
  <c r="N441" i="8"/>
  <c r="N440" i="8"/>
  <c r="N439" i="8"/>
  <c r="L439" i="8"/>
  <c r="N438" i="8"/>
  <c r="L438" i="8"/>
  <c r="O438" i="8" s="1"/>
  <c r="N437" i="8"/>
  <c r="L437" i="8"/>
  <c r="N436" i="8"/>
  <c r="L436" i="8"/>
  <c r="O436" i="8" s="1"/>
  <c r="N435" i="8"/>
  <c r="L435" i="8"/>
  <c r="J435" i="8"/>
  <c r="I435" i="8"/>
  <c r="J434" i="8"/>
  <c r="J433" i="8"/>
  <c r="J432" i="8"/>
  <c r="I432" i="8"/>
  <c r="J431" i="8"/>
  <c r="I431" i="8"/>
  <c r="J430" i="8"/>
  <c r="I430" i="8"/>
  <c r="J429" i="8"/>
  <c r="I429" i="8"/>
  <c r="J428" i="8"/>
  <c r="I428" i="8"/>
  <c r="J427" i="8"/>
  <c r="I427" i="8"/>
  <c r="J426" i="8"/>
  <c r="I426" i="8"/>
  <c r="J425" i="8"/>
  <c r="I425" i="8"/>
  <c r="J424" i="8"/>
  <c r="I424" i="8"/>
  <c r="J423" i="8"/>
  <c r="I423" i="8"/>
  <c r="J422" i="8"/>
  <c r="I422" i="8"/>
  <c r="J421" i="8"/>
  <c r="I421" i="8"/>
  <c r="J420" i="8"/>
  <c r="I420" i="8"/>
  <c r="J419" i="8"/>
  <c r="I419" i="8"/>
  <c r="J418" i="8"/>
  <c r="I418" i="8"/>
  <c r="J417" i="8"/>
  <c r="I417" i="8"/>
  <c r="J416" i="8"/>
  <c r="I416" i="8"/>
  <c r="J415" i="8"/>
  <c r="J414" i="8"/>
  <c r="J413" i="8"/>
  <c r="J412" i="8"/>
  <c r="N410" i="8"/>
  <c r="N409" i="8"/>
  <c r="N408" i="8"/>
  <c r="N407" i="8"/>
  <c r="N406" i="8"/>
  <c r="L406" i="8"/>
  <c r="N405" i="8"/>
  <c r="L405" i="8"/>
  <c r="O405" i="8" s="1"/>
  <c r="N404" i="8"/>
  <c r="L404" i="8"/>
  <c r="N403" i="8"/>
  <c r="L403" i="8"/>
  <c r="O403" i="8" s="1"/>
  <c r="J402" i="8"/>
  <c r="I402" i="8"/>
  <c r="N401" i="8"/>
  <c r="L401" i="8"/>
  <c r="J401" i="8"/>
  <c r="I401" i="8"/>
  <c r="J400" i="8"/>
  <c r="J399" i="8"/>
  <c r="J398" i="8"/>
  <c r="I398" i="8"/>
  <c r="J397" i="8"/>
  <c r="I397" i="8"/>
  <c r="J396" i="8"/>
  <c r="I396" i="8"/>
  <c r="J394" i="8"/>
  <c r="J393" i="8"/>
  <c r="J392" i="8"/>
  <c r="J391" i="8"/>
  <c r="N389" i="8"/>
  <c r="N388" i="8"/>
  <c r="N387" i="8"/>
  <c r="N386" i="8"/>
  <c r="N385" i="8"/>
  <c r="L385" i="8"/>
  <c r="N384" i="8"/>
  <c r="L384" i="8"/>
  <c r="O384" i="8" s="1"/>
  <c r="N383" i="8"/>
  <c r="L383" i="8"/>
  <c r="N382" i="8"/>
  <c r="L382" i="8"/>
  <c r="J381" i="8"/>
  <c r="I381" i="8"/>
  <c r="N380" i="8"/>
  <c r="L380" i="8"/>
  <c r="J380" i="8"/>
  <c r="I380" i="8"/>
  <c r="J379" i="8"/>
  <c r="J378" i="8"/>
  <c r="J377" i="8"/>
  <c r="I377" i="8"/>
  <c r="J376" i="8"/>
  <c r="I376" i="8"/>
  <c r="J375" i="8"/>
  <c r="I375" i="8"/>
  <c r="J374" i="8"/>
  <c r="I374" i="8"/>
  <c r="J373" i="8"/>
  <c r="I373" i="8"/>
  <c r="K373" i="8" s="1"/>
  <c r="J372" i="8"/>
  <c r="I372" i="8"/>
  <c r="J371" i="8"/>
  <c r="I371" i="8"/>
  <c r="K371" i="8" s="1"/>
  <c r="J370" i="8"/>
  <c r="I370" i="8"/>
  <c r="J369" i="8"/>
  <c r="I369" i="8"/>
  <c r="K369" i="8" s="1"/>
  <c r="J368" i="8"/>
  <c r="I368" i="8"/>
  <c r="J367" i="8"/>
  <c r="J366" i="8"/>
  <c r="J365" i="8"/>
  <c r="I365" i="8"/>
  <c r="K365" i="8" s="1"/>
  <c r="J364" i="8"/>
  <c r="J363" i="8"/>
  <c r="J362" i="8"/>
  <c r="J361" i="8"/>
  <c r="J360" i="8"/>
  <c r="N358" i="8"/>
  <c r="N357" i="8"/>
  <c r="N356" i="8"/>
  <c r="N355" i="8"/>
  <c r="N354" i="8"/>
  <c r="L354" i="8"/>
  <c r="N353" i="8"/>
  <c r="L353" i="8"/>
  <c r="O353" i="8" s="1"/>
  <c r="N352" i="8"/>
  <c r="L352" i="8"/>
  <c r="N351" i="8"/>
  <c r="L351" i="8"/>
  <c r="O351" i="8" s="1"/>
  <c r="J350" i="8"/>
  <c r="I350" i="8"/>
  <c r="N349" i="8"/>
  <c r="L349" i="8"/>
  <c r="J349" i="8"/>
  <c r="I349" i="8"/>
  <c r="N347" i="8"/>
  <c r="L347" i="8"/>
  <c r="J346" i="8"/>
  <c r="I346" i="8"/>
  <c r="K346" i="8" s="1"/>
  <c r="J345" i="8"/>
  <c r="I345" i="8"/>
  <c r="J344" i="8"/>
  <c r="I344" i="8"/>
  <c r="K344" i="8" s="1"/>
  <c r="J343" i="8"/>
  <c r="I343" i="8"/>
  <c r="J342" i="8"/>
  <c r="I342" i="8"/>
  <c r="K342" i="8" s="1"/>
  <c r="J341" i="8"/>
  <c r="I341" i="8"/>
  <c r="J340" i="8"/>
  <c r="I340" i="8"/>
  <c r="J339" i="8"/>
  <c r="I339" i="8"/>
  <c r="K339" i="8" s="1"/>
  <c r="N337" i="8"/>
  <c r="L337" i="8"/>
  <c r="M337" i="8" s="1"/>
  <c r="L335" i="8"/>
  <c r="L334" i="8"/>
  <c r="N333" i="8"/>
  <c r="M333" i="8"/>
  <c r="O332" i="8"/>
  <c r="P330" i="8"/>
  <c r="O330" i="8"/>
  <c r="N330" i="8"/>
  <c r="M330" i="8"/>
  <c r="L330" i="8"/>
  <c r="J328" i="8"/>
  <c r="I328" i="8"/>
  <c r="J326" i="8"/>
  <c r="J325" i="8"/>
  <c r="J324" i="8"/>
  <c r="I324" i="8"/>
  <c r="K324" i="8" s="1"/>
  <c r="J323" i="8"/>
  <c r="J322" i="8"/>
  <c r="J321" i="8"/>
  <c r="J320" i="8"/>
  <c r="N318" i="8"/>
  <c r="L318" i="8"/>
  <c r="O318" i="8" s="1"/>
  <c r="L316" i="8"/>
  <c r="L315" i="8"/>
  <c r="N314" i="8"/>
  <c r="M314" i="8"/>
  <c r="O313" i="8"/>
  <c r="P311" i="8"/>
  <c r="O311" i="8"/>
  <c r="N311" i="8"/>
  <c r="M311" i="8"/>
  <c r="L311" i="8"/>
  <c r="J309" i="8"/>
  <c r="I309" i="8"/>
  <c r="K309" i="8" s="1"/>
  <c r="J308" i="8"/>
  <c r="J307" i="8"/>
  <c r="J306" i="8"/>
  <c r="I306" i="8"/>
  <c r="K306" i="8" s="1"/>
  <c r="J304" i="8"/>
  <c r="I304" i="8"/>
  <c r="K304" i="8" s="1"/>
  <c r="J303" i="8"/>
  <c r="J302" i="8"/>
  <c r="J301" i="8"/>
  <c r="J300" i="8"/>
  <c r="N298" i="8"/>
  <c r="L298" i="8"/>
  <c r="O298" i="8" s="1"/>
  <c r="L296" i="8"/>
  <c r="L295" i="8"/>
  <c r="N294" i="8"/>
  <c r="M294" i="8"/>
  <c r="P294" i="8" s="1"/>
  <c r="O293" i="8"/>
  <c r="P291" i="8"/>
  <c r="O291" i="8"/>
  <c r="N291" i="8"/>
  <c r="M291" i="8"/>
  <c r="L291" i="8"/>
  <c r="J289" i="8"/>
  <c r="I289" i="8"/>
  <c r="K289" i="8" s="1"/>
  <c r="J287" i="8"/>
  <c r="J286" i="8"/>
  <c r="J285" i="8"/>
  <c r="I285" i="8"/>
  <c r="J284" i="8"/>
  <c r="J283" i="8"/>
  <c r="J282" i="8"/>
  <c r="J281" i="8"/>
  <c r="N279" i="8"/>
  <c r="L279" i="8"/>
  <c r="O279" i="8" s="1"/>
  <c r="L277" i="8"/>
  <c r="L276" i="8"/>
  <c r="N275" i="8"/>
  <c r="M275" i="8"/>
  <c r="O274" i="8"/>
  <c r="P272" i="8"/>
  <c r="O272" i="8"/>
  <c r="N272" i="8"/>
  <c r="M272" i="8"/>
  <c r="L272" i="8"/>
  <c r="J270" i="8"/>
  <c r="I270" i="8"/>
  <c r="J269" i="8"/>
  <c r="J268" i="8"/>
  <c r="J267" i="8"/>
  <c r="I267" i="8"/>
  <c r="K267" i="8" s="1"/>
  <c r="J266" i="8"/>
  <c r="I266" i="8"/>
  <c r="K266" i="8" s="1"/>
  <c r="J265" i="8"/>
  <c r="I265" i="8"/>
  <c r="K265" i="8" s="1"/>
  <c r="J264" i="8"/>
  <c r="I264" i="8"/>
  <c r="K264" i="8" s="1"/>
  <c r="J263" i="8"/>
  <c r="J262" i="8"/>
  <c r="J261" i="8"/>
  <c r="J260" i="8"/>
  <c r="N258" i="8"/>
  <c r="L258" i="8"/>
  <c r="O258" i="8" s="1"/>
  <c r="L256" i="8"/>
  <c r="L255" i="8"/>
  <c r="N254" i="8"/>
  <c r="M254" i="8"/>
  <c r="M252" i="8" s="1"/>
  <c r="P252" i="8" s="1"/>
  <c r="O253" i="8"/>
  <c r="O251" i="8"/>
  <c r="N251" i="8"/>
  <c r="M251" i="8"/>
  <c r="P251" i="8" s="1"/>
  <c r="L251" i="8"/>
  <c r="J249" i="8"/>
  <c r="I249" i="8"/>
  <c r="K249" i="8" s="1"/>
  <c r="J246" i="8"/>
  <c r="J245" i="8"/>
  <c r="J244" i="8"/>
  <c r="I244" i="8"/>
  <c r="K244" i="8" s="1"/>
  <c r="J243" i="8"/>
  <c r="J242" i="8"/>
  <c r="J241" i="8"/>
  <c r="J240" i="8"/>
  <c r="J238" i="8"/>
  <c r="I238" i="8"/>
  <c r="K238" i="8" s="1"/>
  <c r="J237" i="8"/>
  <c r="J236" i="8"/>
  <c r="J235" i="8"/>
  <c r="I235" i="8"/>
  <c r="J234" i="8"/>
  <c r="J233" i="8"/>
  <c r="J232" i="8"/>
  <c r="J231" i="8"/>
  <c r="J229" i="8"/>
  <c r="I229" i="8"/>
  <c r="N228" i="8"/>
  <c r="L228" i="8"/>
  <c r="O228" i="8" s="1"/>
  <c r="L226" i="8"/>
  <c r="L225" i="8"/>
  <c r="N224" i="8"/>
  <c r="M224" i="8"/>
  <c r="M222" i="8" s="1"/>
  <c r="M220" i="8" s="1"/>
  <c r="O223" i="8"/>
  <c r="P221" i="8"/>
  <c r="N221" i="8"/>
  <c r="M221" i="8"/>
  <c r="L221" i="8"/>
  <c r="O221" i="8" s="1"/>
  <c r="J219" i="8"/>
  <c r="I219" i="8"/>
  <c r="J218" i="8"/>
  <c r="J217" i="8"/>
  <c r="J216" i="8"/>
  <c r="I216" i="8"/>
  <c r="K216" i="8" s="1"/>
  <c r="J215" i="8"/>
  <c r="I215" i="8"/>
  <c r="K215" i="8" s="1"/>
  <c r="J213" i="8"/>
  <c r="I213" i="8"/>
  <c r="K213" i="8" s="1"/>
  <c r="J212" i="8"/>
  <c r="J211" i="8"/>
  <c r="J210" i="8"/>
  <c r="J209" i="8"/>
  <c r="J204" i="8"/>
  <c r="I204" i="8"/>
  <c r="K204" i="8" s="1"/>
  <c r="J203" i="8"/>
  <c r="J202" i="8"/>
  <c r="J201" i="8"/>
  <c r="I201" i="8"/>
  <c r="K201" i="8" s="1"/>
  <c r="J200" i="8"/>
  <c r="I200" i="8"/>
  <c r="J199" i="8"/>
  <c r="I199" i="8"/>
  <c r="J197" i="8"/>
  <c r="J196" i="8"/>
  <c r="J195" i="8"/>
  <c r="J194" i="8"/>
  <c r="J189" i="8"/>
  <c r="I189" i="8"/>
  <c r="J188" i="8"/>
  <c r="J187" i="8"/>
  <c r="J186" i="8"/>
  <c r="I186" i="8"/>
  <c r="K186" i="8" s="1"/>
  <c r="J185" i="8"/>
  <c r="I185" i="8"/>
  <c r="K185" i="8" s="1"/>
  <c r="J184" i="8"/>
  <c r="J183" i="8"/>
  <c r="J182" i="8"/>
  <c r="J181" i="8"/>
  <c r="J176" i="8"/>
  <c r="I176" i="8"/>
  <c r="K176" i="8" s="1"/>
  <c r="J175" i="8"/>
  <c r="J174" i="8"/>
  <c r="J173" i="8"/>
  <c r="I173" i="8"/>
  <c r="J172" i="8"/>
  <c r="J171" i="8"/>
  <c r="J170" i="8"/>
  <c r="J169" i="8"/>
  <c r="J164" i="8"/>
  <c r="I164" i="8"/>
  <c r="J163" i="8"/>
  <c r="J162" i="8"/>
  <c r="J161" i="8"/>
  <c r="J160" i="8"/>
  <c r="J159" i="8"/>
  <c r="J158" i="8"/>
  <c r="I158" i="8"/>
  <c r="J157" i="8"/>
  <c r="J156" i="8"/>
  <c r="J155" i="8"/>
  <c r="J154" i="8"/>
  <c r="J149" i="8"/>
  <c r="I149" i="8"/>
  <c r="N148" i="8"/>
  <c r="L148" i="8"/>
  <c r="O148" i="8" s="1"/>
  <c r="L146" i="8"/>
  <c r="L145" i="8"/>
  <c r="N144" i="8"/>
  <c r="M144" i="8"/>
  <c r="M142" i="8" s="1"/>
  <c r="O143" i="8"/>
  <c r="O141" i="8"/>
  <c r="N141" i="8"/>
  <c r="M141" i="8"/>
  <c r="P141" i="8" s="1"/>
  <c r="L141" i="8"/>
  <c r="J138" i="8"/>
  <c r="I138" i="8"/>
  <c r="K138" i="8" s="1"/>
  <c r="J135" i="8"/>
  <c r="J134" i="8"/>
  <c r="J133" i="8"/>
  <c r="I133" i="8"/>
  <c r="J132" i="8"/>
  <c r="I132" i="8"/>
  <c r="J131" i="8"/>
  <c r="J130" i="8"/>
  <c r="J129" i="8"/>
  <c r="J128" i="8"/>
  <c r="N126" i="8"/>
  <c r="L126" i="8"/>
  <c r="O126" i="8" s="1"/>
  <c r="L124" i="8"/>
  <c r="L123" i="8"/>
  <c r="N122" i="8"/>
  <c r="M122" i="8"/>
  <c r="O121" i="8"/>
  <c r="P119" i="8"/>
  <c r="O119" i="8"/>
  <c r="N119" i="8"/>
  <c r="M119" i="8"/>
  <c r="L119" i="8"/>
  <c r="J117" i="8"/>
  <c r="I117" i="8"/>
  <c r="J115" i="8"/>
  <c r="J114" i="8"/>
  <c r="J113" i="8"/>
  <c r="I113" i="8"/>
  <c r="K113" i="8" s="1"/>
  <c r="J112" i="8"/>
  <c r="I112" i="8"/>
  <c r="K112" i="8" s="1"/>
  <c r="J111" i="8"/>
  <c r="I111" i="8"/>
  <c r="K111" i="8" s="1"/>
  <c r="J110" i="8"/>
  <c r="I110" i="8"/>
  <c r="K110" i="8" s="1"/>
  <c r="J109" i="8"/>
  <c r="I109" i="8"/>
  <c r="K109" i="8" s="1"/>
  <c r="J108" i="8"/>
  <c r="I108" i="8"/>
  <c r="K108" i="8" s="1"/>
  <c r="J107" i="8"/>
  <c r="J106" i="8"/>
  <c r="J105" i="8"/>
  <c r="J104" i="8"/>
  <c r="N102" i="8"/>
  <c r="L102" i="8"/>
  <c r="O102" i="8" s="1"/>
  <c r="L100" i="8"/>
  <c r="L99" i="8"/>
  <c r="N98" i="8"/>
  <c r="M98" i="8"/>
  <c r="P98" i="8" s="1"/>
  <c r="O97" i="8"/>
  <c r="N95" i="8"/>
  <c r="M95" i="8"/>
  <c r="L95" i="8"/>
  <c r="J93" i="8"/>
  <c r="I93" i="8"/>
  <c r="K93" i="8" s="1"/>
  <c r="J92" i="8"/>
  <c r="I92" i="8"/>
  <c r="K92" i="8" s="1"/>
  <c r="J90" i="8"/>
  <c r="J89" i="8"/>
  <c r="J88" i="8"/>
  <c r="I88" i="8"/>
  <c r="K88" i="8" s="1"/>
  <c r="J87" i="8"/>
  <c r="I87" i="8"/>
  <c r="K87" i="8" s="1"/>
  <c r="J86" i="8"/>
  <c r="I86" i="8"/>
  <c r="K86" i="8" s="1"/>
  <c r="J85" i="8"/>
  <c r="I85" i="8"/>
  <c r="K85" i="8" s="1"/>
  <c r="J84" i="8"/>
  <c r="I84" i="8"/>
  <c r="K84" i="8" s="1"/>
  <c r="J83" i="8"/>
  <c r="I83" i="8"/>
  <c r="K83" i="8" s="1"/>
  <c r="J82" i="8"/>
  <c r="I82" i="8"/>
  <c r="K82" i="8" s="1"/>
  <c r="J81" i="8"/>
  <c r="I81" i="8"/>
  <c r="K81" i="8" s="1"/>
  <c r="J80" i="8"/>
  <c r="I80" i="8"/>
  <c r="K80" i="8" s="1"/>
  <c r="J79" i="8"/>
  <c r="J78" i="8"/>
  <c r="J77" i="8"/>
  <c r="J76" i="8"/>
  <c r="N74" i="8"/>
  <c r="L74" i="8"/>
  <c r="O74" i="8" s="1"/>
  <c r="L72" i="8"/>
  <c r="L71" i="8"/>
  <c r="N70" i="8"/>
  <c r="M70" i="8"/>
  <c r="O69" i="8"/>
  <c r="N67" i="8"/>
  <c r="M67" i="8"/>
  <c r="L67" i="8"/>
  <c r="O67" i="8" s="1"/>
  <c r="J65" i="8"/>
  <c r="I65" i="8"/>
  <c r="K65" i="8" s="1"/>
  <c r="J64" i="8"/>
  <c r="I64" i="8"/>
  <c r="K64" i="8" s="1"/>
  <c r="N61" i="8"/>
  <c r="L61" i="8"/>
  <c r="L59" i="8"/>
  <c r="L58" i="8"/>
  <c r="N57" i="8"/>
  <c r="M57" i="8"/>
  <c r="M55" i="8" s="1"/>
  <c r="N54" i="8"/>
  <c r="M54" i="8"/>
  <c r="L54" i="8"/>
  <c r="N49" i="8"/>
  <c r="L49" i="8"/>
  <c r="O49" i="8" s="1"/>
  <c r="L47" i="8"/>
  <c r="L46" i="8"/>
  <c r="N45" i="8"/>
  <c r="M45" i="8"/>
  <c r="N42" i="8"/>
  <c r="M42" i="8"/>
  <c r="L42" i="8"/>
  <c r="O42" i="8" s="1"/>
  <c r="P36" i="8"/>
  <c r="O36" i="8"/>
  <c r="P35" i="8"/>
  <c r="O35" i="8"/>
  <c r="P34" i="8"/>
  <c r="M34" i="8"/>
  <c r="M33" i="8"/>
  <c r="P32" i="8"/>
  <c r="M32" i="8"/>
  <c r="P31" i="8"/>
  <c r="M31" i="8"/>
  <c r="M29" i="8" s="1"/>
  <c r="M30" i="8"/>
  <c r="P30" i="8" s="1"/>
  <c r="P25" i="8"/>
  <c r="O25" i="8"/>
  <c r="N25" i="8"/>
  <c r="M25" i="8"/>
  <c r="L25" i="8"/>
  <c r="N24" i="8"/>
  <c r="M24" i="8"/>
  <c r="P23" i="8"/>
  <c r="N23" i="8"/>
  <c r="M23" i="8"/>
  <c r="N21" i="8"/>
  <c r="M21" i="8"/>
  <c r="L21" i="8"/>
  <c r="N19" i="8"/>
  <c r="N15" i="8"/>
  <c r="M15" i="8"/>
  <c r="P15" i="8" s="1"/>
  <c r="L15" i="8"/>
  <c r="O15" i="8" s="1"/>
  <c r="J635" i="7"/>
  <c r="I635" i="7"/>
  <c r="J634" i="7"/>
  <c r="I634" i="7"/>
  <c r="J633" i="7"/>
  <c r="I633" i="7"/>
  <c r="J632" i="7"/>
  <c r="I632" i="7"/>
  <c r="J631" i="7"/>
  <c r="I631" i="7"/>
  <c r="J630" i="7"/>
  <c r="I630" i="7"/>
  <c r="J629" i="7"/>
  <c r="I629" i="7"/>
  <c r="J628" i="7"/>
  <c r="I628" i="7"/>
  <c r="J626" i="7"/>
  <c r="I626" i="7"/>
  <c r="J625" i="7"/>
  <c r="I625" i="7"/>
  <c r="J624" i="7"/>
  <c r="I624" i="7"/>
  <c r="J623" i="7"/>
  <c r="I623" i="7"/>
  <c r="J622" i="7"/>
  <c r="I622" i="7"/>
  <c r="J621" i="7"/>
  <c r="I621" i="7"/>
  <c r="J620" i="7"/>
  <c r="I620" i="7"/>
  <c r="J619" i="7"/>
  <c r="I619" i="7"/>
  <c r="J618" i="7"/>
  <c r="I618" i="7"/>
  <c r="J617" i="7"/>
  <c r="I617" i="7"/>
  <c r="J616" i="7"/>
  <c r="I616" i="7"/>
  <c r="J615" i="7"/>
  <c r="I615" i="7"/>
  <c r="J614" i="7"/>
  <c r="I614" i="7"/>
  <c r="J613" i="7"/>
  <c r="I613" i="7"/>
  <c r="J612" i="7"/>
  <c r="I612" i="7"/>
  <c r="J611" i="7"/>
  <c r="I611" i="7"/>
  <c r="J610" i="7"/>
  <c r="J609" i="7"/>
  <c r="J608" i="7"/>
  <c r="J607" i="7"/>
  <c r="N605" i="7"/>
  <c r="N604" i="7"/>
  <c r="N603" i="7"/>
  <c r="N602" i="7"/>
  <c r="N601" i="7"/>
  <c r="L601" i="7"/>
  <c r="N600" i="7"/>
  <c r="L600" i="7"/>
  <c r="O600" i="7" s="1"/>
  <c r="N599" i="7"/>
  <c r="L599" i="7"/>
  <c r="N598" i="7"/>
  <c r="L598" i="7"/>
  <c r="O598" i="7" s="1"/>
  <c r="N597" i="7"/>
  <c r="L597" i="7"/>
  <c r="J597" i="7"/>
  <c r="I597" i="7"/>
  <c r="J596" i="7"/>
  <c r="I596" i="7"/>
  <c r="K596" i="7" s="1"/>
  <c r="J595" i="7"/>
  <c r="I595" i="7"/>
  <c r="K595" i="7" s="1"/>
  <c r="J594" i="7"/>
  <c r="I594" i="7"/>
  <c r="K594" i="7" s="1"/>
  <c r="J593" i="7"/>
  <c r="I593" i="7"/>
  <c r="K593" i="7" s="1"/>
  <c r="J592" i="7"/>
  <c r="I592" i="7"/>
  <c r="K592" i="7" s="1"/>
  <c r="J591" i="7"/>
  <c r="I591" i="7"/>
  <c r="K591" i="7" s="1"/>
  <c r="J590" i="7"/>
  <c r="I590" i="7"/>
  <c r="K590" i="7" s="1"/>
  <c r="J589" i="7"/>
  <c r="I589" i="7"/>
  <c r="K589" i="7" s="1"/>
  <c r="N588" i="7"/>
  <c r="N587" i="7"/>
  <c r="N586" i="7"/>
  <c r="N585" i="7"/>
  <c r="N584" i="7"/>
  <c r="L584" i="7"/>
  <c r="O584" i="7" s="1"/>
  <c r="N583" i="7"/>
  <c r="L583" i="7"/>
  <c r="N582" i="7"/>
  <c r="L582" i="7"/>
  <c r="O582" i="7" s="1"/>
  <c r="N581" i="7"/>
  <c r="L581" i="7"/>
  <c r="O581" i="7" s="1"/>
  <c r="N580" i="7"/>
  <c r="L580" i="7"/>
  <c r="O580" i="7" s="1"/>
  <c r="J580" i="7"/>
  <c r="I580" i="7"/>
  <c r="K580" i="7" s="1"/>
  <c r="J579" i="7"/>
  <c r="I579" i="7"/>
  <c r="K579" i="7" s="1"/>
  <c r="J578" i="7"/>
  <c r="I578" i="7"/>
  <c r="K578" i="7" s="1"/>
  <c r="J577" i="7"/>
  <c r="I577" i="7"/>
  <c r="K577" i="7" s="1"/>
  <c r="J576" i="7"/>
  <c r="I576" i="7"/>
  <c r="K576" i="7" s="1"/>
  <c r="J575" i="7"/>
  <c r="I575" i="7"/>
  <c r="K575" i="7" s="1"/>
  <c r="J573" i="7"/>
  <c r="I573" i="7"/>
  <c r="N572" i="7"/>
  <c r="N571" i="7"/>
  <c r="N570" i="7"/>
  <c r="N569" i="7"/>
  <c r="N568" i="7"/>
  <c r="L568" i="7"/>
  <c r="N567" i="7"/>
  <c r="L567" i="7"/>
  <c r="O567" i="7" s="1"/>
  <c r="N566" i="7"/>
  <c r="L566" i="7"/>
  <c r="N565" i="7"/>
  <c r="L565" i="7"/>
  <c r="O565" i="7" s="1"/>
  <c r="N564" i="7"/>
  <c r="L564" i="7"/>
  <c r="J564" i="7"/>
  <c r="I564" i="7"/>
  <c r="J561" i="7"/>
  <c r="I561" i="7"/>
  <c r="K561" i="7" s="1"/>
  <c r="J560" i="7"/>
  <c r="I560" i="7"/>
  <c r="K560" i="7" s="1"/>
  <c r="N559" i="7"/>
  <c r="N558" i="7"/>
  <c r="N557" i="7"/>
  <c r="N556" i="7"/>
  <c r="N555" i="7"/>
  <c r="L555" i="7"/>
  <c r="O555" i="7" s="1"/>
  <c r="N554" i="7"/>
  <c r="L554" i="7"/>
  <c r="O554" i="7" s="1"/>
  <c r="N553" i="7"/>
  <c r="L553" i="7"/>
  <c r="O553" i="7" s="1"/>
  <c r="N552" i="7"/>
  <c r="L552" i="7"/>
  <c r="O552" i="7" s="1"/>
  <c r="N551" i="7"/>
  <c r="L551" i="7"/>
  <c r="O551" i="7" s="1"/>
  <c r="J551" i="7"/>
  <c r="I551" i="7"/>
  <c r="K551" i="7" s="1"/>
  <c r="J550" i="7"/>
  <c r="J549" i="7"/>
  <c r="J548" i="7"/>
  <c r="I548" i="7"/>
  <c r="K548" i="7" s="1"/>
  <c r="J547" i="7"/>
  <c r="I547" i="7"/>
  <c r="J546" i="7"/>
  <c r="J545" i="7"/>
  <c r="J544" i="7"/>
  <c r="J543" i="7"/>
  <c r="N541" i="7"/>
  <c r="N540" i="7"/>
  <c r="N539" i="7"/>
  <c r="N538" i="7"/>
  <c r="N537" i="7"/>
  <c r="L537" i="7"/>
  <c r="N536" i="7"/>
  <c r="L536" i="7"/>
  <c r="O536" i="7" s="1"/>
  <c r="N535" i="7"/>
  <c r="L535" i="7"/>
  <c r="N534" i="7"/>
  <c r="L534" i="7"/>
  <c r="O534" i="7" s="1"/>
  <c r="N533" i="7"/>
  <c r="L533" i="7"/>
  <c r="J533" i="7"/>
  <c r="I533" i="7"/>
  <c r="J532" i="7"/>
  <c r="I532" i="7"/>
  <c r="J531" i="7"/>
  <c r="I531" i="7"/>
  <c r="J530" i="7"/>
  <c r="I530" i="7"/>
  <c r="J529" i="7"/>
  <c r="I529" i="7"/>
  <c r="J528" i="7"/>
  <c r="I528" i="7"/>
  <c r="J527" i="7"/>
  <c r="I527" i="7"/>
  <c r="J526" i="7"/>
  <c r="I526" i="7"/>
  <c r="J525" i="7"/>
  <c r="I525" i="7"/>
  <c r="J524" i="7"/>
  <c r="I524" i="7"/>
  <c r="J523" i="7"/>
  <c r="I523" i="7"/>
  <c r="J522" i="7"/>
  <c r="I522" i="7"/>
  <c r="J521" i="7"/>
  <c r="I521" i="7"/>
  <c r="J520" i="7"/>
  <c r="I520" i="7"/>
  <c r="J519" i="7"/>
  <c r="I519" i="7"/>
  <c r="J518" i="7"/>
  <c r="I518" i="7"/>
  <c r="J517" i="7"/>
  <c r="I517" i="7"/>
  <c r="J516" i="7"/>
  <c r="I516" i="7"/>
  <c r="J515" i="7"/>
  <c r="I515" i="7"/>
  <c r="K515" i="7" s="1"/>
  <c r="J514" i="7"/>
  <c r="I514" i="7"/>
  <c r="K514" i="7" s="1"/>
  <c r="J513" i="7"/>
  <c r="I513" i="7"/>
  <c r="K513" i="7" s="1"/>
  <c r="J512" i="7"/>
  <c r="I512" i="7"/>
  <c r="K512" i="7" s="1"/>
  <c r="J511" i="7"/>
  <c r="I511" i="7"/>
  <c r="K511" i="7" s="1"/>
  <c r="J510" i="7"/>
  <c r="I510" i="7"/>
  <c r="K510" i="7" s="1"/>
  <c r="J509" i="7"/>
  <c r="I509" i="7"/>
  <c r="K509" i="7" s="1"/>
  <c r="J508" i="7"/>
  <c r="I508" i="7"/>
  <c r="K508" i="7" s="1"/>
  <c r="J507" i="7"/>
  <c r="I507" i="7"/>
  <c r="K507" i="7" s="1"/>
  <c r="J506" i="7"/>
  <c r="I506" i="7"/>
  <c r="K506" i="7" s="1"/>
  <c r="J505" i="7"/>
  <c r="I505" i="7"/>
  <c r="K505" i="7" s="1"/>
  <c r="J504" i="7"/>
  <c r="I504" i="7"/>
  <c r="K504" i="7" s="1"/>
  <c r="J503" i="7"/>
  <c r="I503" i="7"/>
  <c r="K503" i="7" s="1"/>
  <c r="J502" i="7"/>
  <c r="I502" i="7"/>
  <c r="K502" i="7" s="1"/>
  <c r="J501" i="7"/>
  <c r="I501" i="7"/>
  <c r="K501" i="7" s="1"/>
  <c r="J500" i="7"/>
  <c r="I500" i="7"/>
  <c r="K500" i="7" s="1"/>
  <c r="J499" i="7"/>
  <c r="I499" i="7"/>
  <c r="K499" i="7" s="1"/>
  <c r="J498" i="7"/>
  <c r="I498" i="7"/>
  <c r="K498" i="7" s="1"/>
  <c r="J497" i="7"/>
  <c r="I497" i="7"/>
  <c r="K497" i="7" s="1"/>
  <c r="J496" i="7"/>
  <c r="I496" i="7"/>
  <c r="K496" i="7" s="1"/>
  <c r="J495" i="7"/>
  <c r="I495" i="7"/>
  <c r="K495" i="7" s="1"/>
  <c r="J494" i="7"/>
  <c r="I494" i="7"/>
  <c r="K494" i="7" s="1"/>
  <c r="J493" i="7"/>
  <c r="I493" i="7"/>
  <c r="K493" i="7" s="1"/>
  <c r="J492" i="7"/>
  <c r="I492" i="7"/>
  <c r="K492" i="7" s="1"/>
  <c r="J491" i="7"/>
  <c r="I491" i="7"/>
  <c r="K491" i="7" s="1"/>
  <c r="J490" i="7"/>
  <c r="I490" i="7"/>
  <c r="K490" i="7" s="1"/>
  <c r="J489" i="7"/>
  <c r="I489" i="7"/>
  <c r="K489" i="7" s="1"/>
  <c r="J488" i="7"/>
  <c r="I488" i="7"/>
  <c r="K488" i="7" s="1"/>
  <c r="J487" i="7"/>
  <c r="I487" i="7"/>
  <c r="K487" i="7" s="1"/>
  <c r="J486" i="7"/>
  <c r="I486" i="7"/>
  <c r="K486" i="7" s="1"/>
  <c r="J485" i="7"/>
  <c r="I485" i="7"/>
  <c r="K485" i="7" s="1"/>
  <c r="J484" i="7"/>
  <c r="I484" i="7"/>
  <c r="K484" i="7" s="1"/>
  <c r="J483" i="7"/>
  <c r="I483" i="7"/>
  <c r="K483" i="7" s="1"/>
  <c r="J482" i="7"/>
  <c r="I482" i="7"/>
  <c r="J481" i="7"/>
  <c r="I481" i="7"/>
  <c r="J480" i="7"/>
  <c r="I480" i="7"/>
  <c r="K480" i="7" s="1"/>
  <c r="J479" i="7"/>
  <c r="I479" i="7"/>
  <c r="K479" i="7" s="1"/>
  <c r="J478" i="7"/>
  <c r="I478" i="7"/>
  <c r="K478" i="7" s="1"/>
  <c r="J477" i="7"/>
  <c r="I477" i="7"/>
  <c r="K477" i="7" s="1"/>
  <c r="J476" i="7"/>
  <c r="I476" i="7"/>
  <c r="K476" i="7" s="1"/>
  <c r="J475" i="7"/>
  <c r="I475" i="7"/>
  <c r="K475" i="7" s="1"/>
  <c r="J474" i="7"/>
  <c r="I474" i="7"/>
  <c r="J473" i="7"/>
  <c r="I473" i="7"/>
  <c r="J472" i="7"/>
  <c r="I472" i="7"/>
  <c r="K472" i="7" s="1"/>
  <c r="J471" i="7"/>
  <c r="I471" i="7"/>
  <c r="K471" i="7" s="1"/>
  <c r="J470" i="7"/>
  <c r="I470" i="7"/>
  <c r="K470" i="7" s="1"/>
  <c r="J469" i="7"/>
  <c r="I469" i="7"/>
  <c r="K469" i="7" s="1"/>
  <c r="J468" i="7"/>
  <c r="I468" i="7"/>
  <c r="K468" i="7" s="1"/>
  <c r="J467" i="7"/>
  <c r="I467" i="7"/>
  <c r="K467" i="7" s="1"/>
  <c r="J466" i="7"/>
  <c r="I466" i="7"/>
  <c r="J465" i="7"/>
  <c r="I465" i="7"/>
  <c r="J464" i="7"/>
  <c r="I464" i="7"/>
  <c r="N463" i="7"/>
  <c r="N462" i="7"/>
  <c r="N461" i="7"/>
  <c r="N460" i="7"/>
  <c r="N459" i="7"/>
  <c r="L459" i="7"/>
  <c r="N458" i="7"/>
  <c r="L458" i="7"/>
  <c r="O458" i="7" s="1"/>
  <c r="N457" i="7"/>
  <c r="L457" i="7"/>
  <c r="N456" i="7"/>
  <c r="L456" i="7"/>
  <c r="O456" i="7" s="1"/>
  <c r="N455" i="7"/>
  <c r="L455" i="7"/>
  <c r="J455" i="7"/>
  <c r="I455" i="7"/>
  <c r="J454" i="7"/>
  <c r="J453" i="7"/>
  <c r="J452" i="7"/>
  <c r="I452" i="7"/>
  <c r="K452" i="7" s="1"/>
  <c r="J451" i="7"/>
  <c r="I451" i="7"/>
  <c r="K451" i="7" s="1"/>
  <c r="J450" i="7"/>
  <c r="I450" i="7"/>
  <c r="J449" i="7"/>
  <c r="I449" i="7"/>
  <c r="J448" i="7"/>
  <c r="J447" i="7"/>
  <c r="J446" i="7"/>
  <c r="J445" i="7"/>
  <c r="N443" i="7"/>
  <c r="N442" i="7"/>
  <c r="N441" i="7"/>
  <c r="N440" i="7"/>
  <c r="N439" i="7"/>
  <c r="L439" i="7"/>
  <c r="N438" i="7"/>
  <c r="L438" i="7"/>
  <c r="O438" i="7" s="1"/>
  <c r="N437" i="7"/>
  <c r="L437" i="7"/>
  <c r="N436" i="7"/>
  <c r="L436" i="7"/>
  <c r="O436" i="7" s="1"/>
  <c r="N435" i="7"/>
  <c r="L435" i="7"/>
  <c r="J435" i="7"/>
  <c r="I435" i="7"/>
  <c r="J434" i="7"/>
  <c r="J433" i="7"/>
  <c r="J432" i="7"/>
  <c r="I432" i="7"/>
  <c r="J431" i="7"/>
  <c r="I431" i="7"/>
  <c r="J430" i="7"/>
  <c r="I430" i="7"/>
  <c r="J429" i="7"/>
  <c r="I429" i="7"/>
  <c r="J428" i="7"/>
  <c r="I428" i="7"/>
  <c r="J427" i="7"/>
  <c r="I427" i="7"/>
  <c r="J426" i="7"/>
  <c r="I426" i="7"/>
  <c r="J425" i="7"/>
  <c r="I425" i="7"/>
  <c r="J424" i="7"/>
  <c r="I424" i="7"/>
  <c r="J423" i="7"/>
  <c r="I423" i="7"/>
  <c r="J422" i="7"/>
  <c r="I422" i="7"/>
  <c r="J421" i="7"/>
  <c r="I421" i="7"/>
  <c r="J420" i="7"/>
  <c r="I420" i="7"/>
  <c r="J419" i="7"/>
  <c r="I419" i="7"/>
  <c r="J418" i="7"/>
  <c r="I418" i="7"/>
  <c r="J417" i="7"/>
  <c r="I417" i="7"/>
  <c r="J416" i="7"/>
  <c r="I416" i="7"/>
  <c r="J415" i="7"/>
  <c r="J414" i="7"/>
  <c r="J413" i="7"/>
  <c r="J412" i="7"/>
  <c r="N410" i="7"/>
  <c r="N409" i="7"/>
  <c r="N408" i="7"/>
  <c r="N407" i="7"/>
  <c r="N406" i="7"/>
  <c r="L406" i="7"/>
  <c r="N405" i="7"/>
  <c r="L405" i="7"/>
  <c r="O405" i="7" s="1"/>
  <c r="N404" i="7"/>
  <c r="L404" i="7"/>
  <c r="N403" i="7"/>
  <c r="L403" i="7"/>
  <c r="O403" i="7" s="1"/>
  <c r="J402" i="7"/>
  <c r="I402" i="7"/>
  <c r="N401" i="7"/>
  <c r="L401" i="7"/>
  <c r="J401" i="7"/>
  <c r="I401" i="7"/>
  <c r="J400" i="7"/>
  <c r="J399" i="7"/>
  <c r="J398" i="7"/>
  <c r="I398" i="7"/>
  <c r="J397" i="7"/>
  <c r="I397" i="7"/>
  <c r="J396" i="7"/>
  <c r="I396" i="7"/>
  <c r="J394" i="7"/>
  <c r="J393" i="7"/>
  <c r="J392" i="7"/>
  <c r="J391" i="7"/>
  <c r="N389" i="7"/>
  <c r="N388" i="7"/>
  <c r="N387" i="7"/>
  <c r="N386" i="7"/>
  <c r="N385" i="7"/>
  <c r="L385" i="7"/>
  <c r="N384" i="7"/>
  <c r="L384" i="7"/>
  <c r="O384" i="7" s="1"/>
  <c r="N383" i="7"/>
  <c r="L383" i="7"/>
  <c r="N382" i="7"/>
  <c r="L382" i="7"/>
  <c r="O382" i="7" s="1"/>
  <c r="J381" i="7"/>
  <c r="I381" i="7"/>
  <c r="N380" i="7"/>
  <c r="L380" i="7"/>
  <c r="J380" i="7"/>
  <c r="I380" i="7"/>
  <c r="J379" i="7"/>
  <c r="J378" i="7"/>
  <c r="J377" i="7"/>
  <c r="I377" i="7"/>
  <c r="K377" i="7" s="1"/>
  <c r="J376" i="7"/>
  <c r="I376" i="7"/>
  <c r="J375" i="7"/>
  <c r="I375" i="7"/>
  <c r="J374" i="7"/>
  <c r="I374" i="7"/>
  <c r="J373" i="7"/>
  <c r="I373" i="7"/>
  <c r="K373" i="7" s="1"/>
  <c r="J372" i="7"/>
  <c r="I372" i="7"/>
  <c r="J371" i="7"/>
  <c r="I371" i="7"/>
  <c r="K371" i="7" s="1"/>
  <c r="J370" i="7"/>
  <c r="I370" i="7"/>
  <c r="J369" i="7"/>
  <c r="I369" i="7"/>
  <c r="K369" i="7" s="1"/>
  <c r="J368" i="7"/>
  <c r="I368" i="7"/>
  <c r="J367" i="7"/>
  <c r="J366" i="7"/>
  <c r="J365" i="7"/>
  <c r="I365" i="7"/>
  <c r="K365" i="7" s="1"/>
  <c r="J364" i="7"/>
  <c r="J363" i="7"/>
  <c r="J362" i="7"/>
  <c r="J361" i="7"/>
  <c r="J360" i="7"/>
  <c r="N358" i="7"/>
  <c r="N357" i="7"/>
  <c r="N356" i="7"/>
  <c r="N355" i="7"/>
  <c r="N354" i="7"/>
  <c r="L354" i="7"/>
  <c r="N353" i="7"/>
  <c r="L353" i="7"/>
  <c r="O353" i="7" s="1"/>
  <c r="N352" i="7"/>
  <c r="L352" i="7"/>
  <c r="N351" i="7"/>
  <c r="L351" i="7"/>
  <c r="O351" i="7" s="1"/>
  <c r="J350" i="7"/>
  <c r="I350" i="7"/>
  <c r="N349" i="7"/>
  <c r="L349" i="7"/>
  <c r="J349" i="7"/>
  <c r="I349" i="7"/>
  <c r="N347" i="7"/>
  <c r="L347" i="7"/>
  <c r="J346" i="7"/>
  <c r="I346" i="7"/>
  <c r="K346" i="7" s="1"/>
  <c r="J345" i="7"/>
  <c r="I345" i="7"/>
  <c r="J344" i="7"/>
  <c r="I344" i="7"/>
  <c r="K344" i="7" s="1"/>
  <c r="J343" i="7"/>
  <c r="I343" i="7"/>
  <c r="J342" i="7"/>
  <c r="I342" i="7"/>
  <c r="K342" i="7" s="1"/>
  <c r="J341" i="7"/>
  <c r="I341" i="7"/>
  <c r="J340" i="7"/>
  <c r="I340" i="7"/>
  <c r="J339" i="7"/>
  <c r="I339" i="7"/>
  <c r="K339" i="7" s="1"/>
  <c r="N337" i="7"/>
  <c r="L337" i="7"/>
  <c r="L335" i="7"/>
  <c r="L334" i="7"/>
  <c r="N333" i="7"/>
  <c r="M333" i="7"/>
  <c r="O332" i="7"/>
  <c r="P330" i="7"/>
  <c r="O330" i="7"/>
  <c r="N330" i="7"/>
  <c r="M330" i="7"/>
  <c r="L330" i="7"/>
  <c r="J328" i="7"/>
  <c r="I328" i="7"/>
  <c r="J326" i="7"/>
  <c r="J325" i="7"/>
  <c r="J324" i="7"/>
  <c r="I324" i="7"/>
  <c r="K324" i="7" s="1"/>
  <c r="J323" i="7"/>
  <c r="J322" i="7"/>
  <c r="J321" i="7"/>
  <c r="J320" i="7"/>
  <c r="N318" i="7"/>
  <c r="L318" i="7"/>
  <c r="O318" i="7" s="1"/>
  <c r="L316" i="7"/>
  <c r="L315" i="7"/>
  <c r="N314" i="7"/>
  <c r="M314" i="7"/>
  <c r="O313" i="7"/>
  <c r="P311" i="7"/>
  <c r="N311" i="7"/>
  <c r="M311" i="7"/>
  <c r="L311" i="7"/>
  <c r="O311" i="7" s="1"/>
  <c r="J309" i="7"/>
  <c r="I309" i="7"/>
  <c r="K309" i="7" s="1"/>
  <c r="J308" i="7"/>
  <c r="J307" i="7"/>
  <c r="J306" i="7"/>
  <c r="I306" i="7"/>
  <c r="K306" i="7" s="1"/>
  <c r="J304" i="7"/>
  <c r="I304" i="7"/>
  <c r="K304" i="7" s="1"/>
  <c r="J303" i="7"/>
  <c r="J302" i="7"/>
  <c r="J301" i="7"/>
  <c r="J300" i="7"/>
  <c r="N298" i="7"/>
  <c r="L298" i="7"/>
  <c r="L296" i="7"/>
  <c r="L295" i="7"/>
  <c r="N294" i="7"/>
  <c r="M294" i="7"/>
  <c r="P294" i="7" s="1"/>
  <c r="O293" i="7"/>
  <c r="O291" i="7"/>
  <c r="N291" i="7"/>
  <c r="M291" i="7"/>
  <c r="P291" i="7" s="1"/>
  <c r="L291" i="7"/>
  <c r="J289" i="7"/>
  <c r="I289" i="7"/>
  <c r="K289" i="7" s="1"/>
  <c r="J287" i="7"/>
  <c r="J286" i="7"/>
  <c r="J285" i="7"/>
  <c r="I285" i="7"/>
  <c r="K285" i="7" s="1"/>
  <c r="J284" i="7"/>
  <c r="J283" i="7"/>
  <c r="J282" i="7"/>
  <c r="J281" i="7"/>
  <c r="N279" i="7"/>
  <c r="L279" i="7"/>
  <c r="O279" i="7" s="1"/>
  <c r="L277" i="7"/>
  <c r="L276" i="7"/>
  <c r="N275" i="7"/>
  <c r="M275" i="7"/>
  <c r="O274" i="7"/>
  <c r="P272" i="7"/>
  <c r="O272" i="7"/>
  <c r="N272" i="7"/>
  <c r="M272" i="7"/>
  <c r="L272" i="7"/>
  <c r="J270" i="7"/>
  <c r="I270" i="7"/>
  <c r="K270" i="7" s="1"/>
  <c r="J269" i="7"/>
  <c r="J268" i="7"/>
  <c r="J267" i="7"/>
  <c r="I267" i="7"/>
  <c r="K267" i="7" s="1"/>
  <c r="J266" i="7"/>
  <c r="I266" i="7"/>
  <c r="K266" i="7" s="1"/>
  <c r="J265" i="7"/>
  <c r="I265" i="7"/>
  <c r="K265" i="7" s="1"/>
  <c r="J264" i="7"/>
  <c r="I264" i="7"/>
  <c r="K264" i="7" s="1"/>
  <c r="J263" i="7"/>
  <c r="J262" i="7"/>
  <c r="J261" i="7"/>
  <c r="J260" i="7"/>
  <c r="N258" i="7"/>
  <c r="L258" i="7"/>
  <c r="O258" i="7" s="1"/>
  <c r="L256" i="7"/>
  <c r="L255" i="7"/>
  <c r="N254" i="7"/>
  <c r="M254" i="7"/>
  <c r="O253" i="7"/>
  <c r="O251" i="7"/>
  <c r="N251" i="7"/>
  <c r="M251" i="7"/>
  <c r="P251" i="7" s="1"/>
  <c r="L251" i="7"/>
  <c r="J249" i="7"/>
  <c r="I249" i="7"/>
  <c r="K249" i="7" s="1"/>
  <c r="J246" i="7"/>
  <c r="J245" i="7"/>
  <c r="J244" i="7"/>
  <c r="I244" i="7"/>
  <c r="K244" i="7" s="1"/>
  <c r="J243" i="7"/>
  <c r="J242" i="7"/>
  <c r="J241" i="7"/>
  <c r="J240" i="7"/>
  <c r="J238" i="7"/>
  <c r="I238" i="7"/>
  <c r="K238" i="7" s="1"/>
  <c r="J237" i="7"/>
  <c r="J236" i="7"/>
  <c r="J235" i="7"/>
  <c r="I235" i="7"/>
  <c r="J234" i="7"/>
  <c r="J233" i="7"/>
  <c r="J232" i="7"/>
  <c r="J231" i="7"/>
  <c r="J229" i="7"/>
  <c r="I229" i="7"/>
  <c r="N228" i="7"/>
  <c r="L228" i="7"/>
  <c r="O228" i="7" s="1"/>
  <c r="L226" i="7"/>
  <c r="L225" i="7"/>
  <c r="N224" i="7"/>
  <c r="M224" i="7"/>
  <c r="M222" i="7" s="1"/>
  <c r="M220" i="7" s="1"/>
  <c r="O223" i="7"/>
  <c r="P221" i="7"/>
  <c r="N221" i="7"/>
  <c r="M221" i="7"/>
  <c r="L221" i="7"/>
  <c r="J219" i="7"/>
  <c r="I219" i="7"/>
  <c r="J218" i="7"/>
  <c r="J217" i="7"/>
  <c r="J216" i="7"/>
  <c r="I216" i="7"/>
  <c r="K216" i="7" s="1"/>
  <c r="J215" i="7"/>
  <c r="I215" i="7"/>
  <c r="K215" i="7" s="1"/>
  <c r="J213" i="7"/>
  <c r="I213" i="7"/>
  <c r="K213" i="7" s="1"/>
  <c r="J212" i="7"/>
  <c r="J211" i="7"/>
  <c r="J210" i="7"/>
  <c r="J209" i="7"/>
  <c r="J204" i="7"/>
  <c r="I204" i="7"/>
  <c r="K204" i="7" s="1"/>
  <c r="J203" i="7"/>
  <c r="J202" i="7"/>
  <c r="J201" i="7"/>
  <c r="I201" i="7"/>
  <c r="J200" i="7"/>
  <c r="I200" i="7"/>
  <c r="J199" i="7"/>
  <c r="I199" i="7"/>
  <c r="J197" i="7"/>
  <c r="J196" i="7"/>
  <c r="J195" i="7"/>
  <c r="J194" i="7"/>
  <c r="J189" i="7"/>
  <c r="I189" i="7"/>
  <c r="J188" i="7"/>
  <c r="J187" i="7"/>
  <c r="J186" i="7"/>
  <c r="I186" i="7"/>
  <c r="K186" i="7" s="1"/>
  <c r="J185" i="7"/>
  <c r="I185" i="7"/>
  <c r="K185" i="7" s="1"/>
  <c r="J184" i="7"/>
  <c r="J183" i="7"/>
  <c r="J182" i="7"/>
  <c r="J181" i="7"/>
  <c r="J176" i="7"/>
  <c r="I176" i="7"/>
  <c r="K176" i="7" s="1"/>
  <c r="J175" i="7"/>
  <c r="J174" i="7"/>
  <c r="J173" i="7"/>
  <c r="I173" i="7"/>
  <c r="J172" i="7"/>
  <c r="J171" i="7"/>
  <c r="J170" i="7"/>
  <c r="J169" i="7"/>
  <c r="J164" i="7"/>
  <c r="I164" i="7"/>
  <c r="J163" i="7"/>
  <c r="J162" i="7"/>
  <c r="J161" i="7"/>
  <c r="J160" i="7"/>
  <c r="J159" i="7"/>
  <c r="J158" i="7"/>
  <c r="I158" i="7"/>
  <c r="J157" i="7"/>
  <c r="J156" i="7"/>
  <c r="J155" i="7"/>
  <c r="J154" i="7"/>
  <c r="J149" i="7"/>
  <c r="I149" i="7"/>
  <c r="N148" i="7"/>
  <c r="L148" i="7"/>
  <c r="O148" i="7" s="1"/>
  <c r="L146" i="7"/>
  <c r="L145" i="7"/>
  <c r="N144" i="7"/>
  <c r="M144" i="7"/>
  <c r="M142" i="7" s="1"/>
  <c r="O143" i="7"/>
  <c r="N141" i="7"/>
  <c r="M141" i="7"/>
  <c r="L141" i="7"/>
  <c r="O141" i="7" s="1"/>
  <c r="J138" i="7"/>
  <c r="I138" i="7"/>
  <c r="J135" i="7"/>
  <c r="J134" i="7"/>
  <c r="J133" i="7"/>
  <c r="I133" i="7"/>
  <c r="K133" i="7" s="1"/>
  <c r="J132" i="7"/>
  <c r="I132" i="7"/>
  <c r="K132" i="7" s="1"/>
  <c r="J131" i="7"/>
  <c r="J130" i="7"/>
  <c r="J129" i="7"/>
  <c r="J128" i="7"/>
  <c r="N126" i="7"/>
  <c r="L126" i="7"/>
  <c r="O126" i="7" s="1"/>
  <c r="L124" i="7"/>
  <c r="L123" i="7"/>
  <c r="N122" i="7"/>
  <c r="M122" i="7"/>
  <c r="O121" i="7"/>
  <c r="P119" i="7"/>
  <c r="O119" i="7"/>
  <c r="N119" i="7"/>
  <c r="M119" i="7"/>
  <c r="L119" i="7"/>
  <c r="J117" i="7"/>
  <c r="I117" i="7"/>
  <c r="K117" i="7" s="1"/>
  <c r="J115" i="7"/>
  <c r="J114" i="7"/>
  <c r="J113" i="7"/>
  <c r="I113" i="7"/>
  <c r="K113" i="7" s="1"/>
  <c r="J112" i="7"/>
  <c r="I112" i="7"/>
  <c r="K112" i="7" s="1"/>
  <c r="J111" i="7"/>
  <c r="I111" i="7"/>
  <c r="K111" i="7" s="1"/>
  <c r="J110" i="7"/>
  <c r="I110" i="7"/>
  <c r="K110" i="7" s="1"/>
  <c r="J109" i="7"/>
  <c r="I109" i="7"/>
  <c r="K109" i="7" s="1"/>
  <c r="J108" i="7"/>
  <c r="I108" i="7"/>
  <c r="K108" i="7" s="1"/>
  <c r="J107" i="7"/>
  <c r="J106" i="7"/>
  <c r="J105" i="7"/>
  <c r="J104" i="7"/>
  <c r="N102" i="7"/>
  <c r="L102" i="7"/>
  <c r="O102" i="7" s="1"/>
  <c r="L100" i="7"/>
  <c r="L99" i="7"/>
  <c r="N98" i="7"/>
  <c r="M98" i="7"/>
  <c r="O97" i="7"/>
  <c r="N95" i="7"/>
  <c r="M95" i="7"/>
  <c r="P95" i="7" s="1"/>
  <c r="L95" i="7"/>
  <c r="O95" i="7" s="1"/>
  <c r="J93" i="7"/>
  <c r="I93" i="7"/>
  <c r="K93" i="7" s="1"/>
  <c r="J92" i="7"/>
  <c r="I92" i="7"/>
  <c r="K92" i="7" s="1"/>
  <c r="J90" i="7"/>
  <c r="J89" i="7"/>
  <c r="J88" i="7"/>
  <c r="I88" i="7"/>
  <c r="K88" i="7" s="1"/>
  <c r="J87" i="7"/>
  <c r="I87" i="7"/>
  <c r="K87" i="7" s="1"/>
  <c r="J86" i="7"/>
  <c r="I86" i="7"/>
  <c r="K86" i="7" s="1"/>
  <c r="J85" i="7"/>
  <c r="I85" i="7"/>
  <c r="K85" i="7" s="1"/>
  <c r="J84" i="7"/>
  <c r="I84" i="7"/>
  <c r="K84" i="7" s="1"/>
  <c r="J83" i="7"/>
  <c r="I83" i="7"/>
  <c r="K83" i="7" s="1"/>
  <c r="J82" i="7"/>
  <c r="I82" i="7"/>
  <c r="K82" i="7" s="1"/>
  <c r="J81" i="7"/>
  <c r="I81" i="7"/>
  <c r="K81" i="7" s="1"/>
  <c r="J80" i="7"/>
  <c r="I80" i="7"/>
  <c r="K80" i="7" s="1"/>
  <c r="J79" i="7"/>
  <c r="J78" i="7"/>
  <c r="J77" i="7"/>
  <c r="J76" i="7"/>
  <c r="N74" i="7"/>
  <c r="L74" i="7"/>
  <c r="O74" i="7" s="1"/>
  <c r="L72" i="7"/>
  <c r="L71" i="7"/>
  <c r="N70" i="7"/>
  <c r="M70" i="7"/>
  <c r="O69" i="7"/>
  <c r="P67" i="7"/>
  <c r="N67" i="7"/>
  <c r="M67" i="7"/>
  <c r="L67" i="7"/>
  <c r="O67" i="7" s="1"/>
  <c r="J65" i="7"/>
  <c r="I65" i="7"/>
  <c r="K65" i="7" s="1"/>
  <c r="J64" i="7"/>
  <c r="I64" i="7"/>
  <c r="K64" i="7" s="1"/>
  <c r="N61" i="7"/>
  <c r="L61" i="7"/>
  <c r="O61" i="7" s="1"/>
  <c r="L59" i="7"/>
  <c r="L58" i="7"/>
  <c r="N57" i="7"/>
  <c r="M57" i="7"/>
  <c r="P54" i="7"/>
  <c r="O54" i="7"/>
  <c r="N54" i="7"/>
  <c r="M54" i="7"/>
  <c r="L54" i="7"/>
  <c r="N49" i="7"/>
  <c r="L49" i="7"/>
  <c r="O49" i="7" s="1"/>
  <c r="L47" i="7"/>
  <c r="L46" i="7"/>
  <c r="N45" i="7"/>
  <c r="M45" i="7"/>
  <c r="M43" i="7" s="1"/>
  <c r="M41" i="7" s="1"/>
  <c r="P42" i="7"/>
  <c r="N42" i="7"/>
  <c r="M42" i="7"/>
  <c r="L42" i="7"/>
  <c r="O42" i="7" s="1"/>
  <c r="P36" i="7"/>
  <c r="O36" i="7"/>
  <c r="P35" i="7"/>
  <c r="O35" i="7"/>
  <c r="M34" i="7"/>
  <c r="P34" i="7" s="1"/>
  <c r="P33" i="7"/>
  <c r="M33" i="7"/>
  <c r="M32" i="7"/>
  <c r="M31" i="7"/>
  <c r="P31" i="7" s="1"/>
  <c r="M29" i="7"/>
  <c r="N25" i="7"/>
  <c r="N15" i="7" s="1"/>
  <c r="M25" i="7"/>
  <c r="P25" i="7" s="1"/>
  <c r="L25" i="7"/>
  <c r="P24" i="7"/>
  <c r="N24" i="7"/>
  <c r="M24" i="7"/>
  <c r="N23" i="7"/>
  <c r="M23" i="7"/>
  <c r="P21" i="7"/>
  <c r="O21" i="7"/>
  <c r="N21" i="7"/>
  <c r="M21" i="7"/>
  <c r="L21" i="7"/>
  <c r="L19" i="7" s="1"/>
  <c r="N19" i="7"/>
  <c r="M19" i="7"/>
  <c r="P19" i="7" s="1"/>
  <c r="P15" i="7"/>
  <c r="M15" i="7"/>
  <c r="M14" i="7"/>
  <c r="P14" i="7" s="1"/>
  <c r="M11" i="7"/>
  <c r="J635" i="6"/>
  <c r="I635" i="6"/>
  <c r="J634" i="6"/>
  <c r="I634" i="6"/>
  <c r="J633" i="6"/>
  <c r="I633" i="6"/>
  <c r="J632" i="6"/>
  <c r="I632" i="6"/>
  <c r="J631" i="6"/>
  <c r="I631" i="6"/>
  <c r="J630" i="6"/>
  <c r="I630" i="6"/>
  <c r="J629" i="6"/>
  <c r="I629" i="6"/>
  <c r="J628" i="6"/>
  <c r="I628" i="6"/>
  <c r="J626" i="6"/>
  <c r="I626" i="6"/>
  <c r="J625" i="6"/>
  <c r="I625" i="6"/>
  <c r="J624" i="6"/>
  <c r="I624" i="6"/>
  <c r="J623" i="6"/>
  <c r="I623" i="6"/>
  <c r="J622" i="6"/>
  <c r="I622" i="6"/>
  <c r="J621" i="6"/>
  <c r="I621" i="6"/>
  <c r="J620" i="6"/>
  <c r="I620" i="6"/>
  <c r="J619" i="6"/>
  <c r="I619" i="6"/>
  <c r="J618" i="6"/>
  <c r="I618" i="6"/>
  <c r="J617" i="6"/>
  <c r="I617" i="6"/>
  <c r="J616" i="6"/>
  <c r="I616" i="6"/>
  <c r="J615" i="6"/>
  <c r="I615" i="6"/>
  <c r="J614" i="6"/>
  <c r="I614" i="6"/>
  <c r="J613" i="6"/>
  <c r="I613" i="6"/>
  <c r="J612" i="6"/>
  <c r="I612" i="6"/>
  <c r="J611" i="6"/>
  <c r="I611" i="6"/>
  <c r="J610" i="6"/>
  <c r="J609" i="6"/>
  <c r="J608" i="6"/>
  <c r="J607" i="6"/>
  <c r="N605" i="6"/>
  <c r="N604" i="6"/>
  <c r="N603" i="6"/>
  <c r="N602" i="6"/>
  <c r="N601" i="6"/>
  <c r="L601" i="6"/>
  <c r="N600" i="6"/>
  <c r="L600" i="6"/>
  <c r="O600" i="6" s="1"/>
  <c r="N599" i="6"/>
  <c r="L599" i="6"/>
  <c r="N598" i="6"/>
  <c r="L598" i="6"/>
  <c r="O598" i="6" s="1"/>
  <c r="N597" i="6"/>
  <c r="L597" i="6"/>
  <c r="J597" i="6"/>
  <c r="I597" i="6"/>
  <c r="J596" i="6"/>
  <c r="I596" i="6"/>
  <c r="K596" i="6" s="1"/>
  <c r="J595" i="6"/>
  <c r="I595" i="6"/>
  <c r="K595" i="6" s="1"/>
  <c r="J594" i="6"/>
  <c r="I594" i="6"/>
  <c r="K594" i="6" s="1"/>
  <c r="J593" i="6"/>
  <c r="I593" i="6"/>
  <c r="K593" i="6" s="1"/>
  <c r="J592" i="6"/>
  <c r="I592" i="6"/>
  <c r="K592" i="6" s="1"/>
  <c r="J591" i="6"/>
  <c r="I591" i="6"/>
  <c r="K591" i="6" s="1"/>
  <c r="J590" i="6"/>
  <c r="I590" i="6"/>
  <c r="K590" i="6" s="1"/>
  <c r="J589" i="6"/>
  <c r="I589" i="6"/>
  <c r="K589" i="6" s="1"/>
  <c r="N588" i="6"/>
  <c r="N587" i="6"/>
  <c r="N586" i="6"/>
  <c r="N585" i="6"/>
  <c r="N584" i="6"/>
  <c r="L584" i="6"/>
  <c r="O584" i="6" s="1"/>
  <c r="N583" i="6"/>
  <c r="L583" i="6"/>
  <c r="O583" i="6" s="1"/>
  <c r="N582" i="6"/>
  <c r="L582" i="6"/>
  <c r="O582" i="6" s="1"/>
  <c r="N581" i="6"/>
  <c r="L581" i="6"/>
  <c r="O581" i="6" s="1"/>
  <c r="N580" i="6"/>
  <c r="L580" i="6"/>
  <c r="O580" i="6" s="1"/>
  <c r="J580" i="6"/>
  <c r="I580" i="6"/>
  <c r="K580" i="6" s="1"/>
  <c r="J579" i="6"/>
  <c r="I579" i="6"/>
  <c r="K579" i="6" s="1"/>
  <c r="J578" i="6"/>
  <c r="I578" i="6"/>
  <c r="K578" i="6" s="1"/>
  <c r="J577" i="6"/>
  <c r="I577" i="6"/>
  <c r="K577" i="6" s="1"/>
  <c r="J576" i="6"/>
  <c r="I576" i="6"/>
  <c r="K576" i="6" s="1"/>
  <c r="J575" i="6"/>
  <c r="I575" i="6"/>
  <c r="K575" i="6" s="1"/>
  <c r="J573" i="6"/>
  <c r="I573" i="6"/>
  <c r="N572" i="6"/>
  <c r="N571" i="6"/>
  <c r="N570" i="6"/>
  <c r="N569" i="6"/>
  <c r="N568" i="6"/>
  <c r="L568" i="6"/>
  <c r="N567" i="6"/>
  <c r="L567" i="6"/>
  <c r="O567" i="6" s="1"/>
  <c r="N566" i="6"/>
  <c r="L566" i="6"/>
  <c r="N565" i="6"/>
  <c r="L565" i="6"/>
  <c r="O565" i="6" s="1"/>
  <c r="N564" i="6"/>
  <c r="L564" i="6"/>
  <c r="J564" i="6"/>
  <c r="I564" i="6"/>
  <c r="J561" i="6"/>
  <c r="I561" i="6"/>
  <c r="K561" i="6" s="1"/>
  <c r="J560" i="6"/>
  <c r="I560" i="6"/>
  <c r="K560" i="6" s="1"/>
  <c r="N559" i="6"/>
  <c r="N558" i="6"/>
  <c r="N557" i="6"/>
  <c r="N556" i="6"/>
  <c r="N555" i="6"/>
  <c r="L555" i="6"/>
  <c r="O555" i="6" s="1"/>
  <c r="N554" i="6"/>
  <c r="L554" i="6"/>
  <c r="O554" i="6" s="1"/>
  <c r="N553" i="6"/>
  <c r="L553" i="6"/>
  <c r="O553" i="6" s="1"/>
  <c r="N552" i="6"/>
  <c r="L552" i="6"/>
  <c r="O552" i="6" s="1"/>
  <c r="N551" i="6"/>
  <c r="L551" i="6"/>
  <c r="O551" i="6" s="1"/>
  <c r="J551" i="6"/>
  <c r="I551" i="6"/>
  <c r="K551" i="6" s="1"/>
  <c r="J550" i="6"/>
  <c r="J549" i="6"/>
  <c r="J548" i="6"/>
  <c r="I548" i="6"/>
  <c r="K548" i="6" s="1"/>
  <c r="J547" i="6"/>
  <c r="I547" i="6"/>
  <c r="J546" i="6"/>
  <c r="J545" i="6"/>
  <c r="J544" i="6"/>
  <c r="J543" i="6"/>
  <c r="N541" i="6"/>
  <c r="N540" i="6"/>
  <c r="N539" i="6"/>
  <c r="N538" i="6"/>
  <c r="N537" i="6"/>
  <c r="L537" i="6"/>
  <c r="N536" i="6"/>
  <c r="L536" i="6"/>
  <c r="O536" i="6" s="1"/>
  <c r="N535" i="6"/>
  <c r="L535" i="6"/>
  <c r="N534" i="6"/>
  <c r="L534" i="6"/>
  <c r="N533" i="6"/>
  <c r="L533" i="6"/>
  <c r="J533" i="6"/>
  <c r="I533" i="6"/>
  <c r="J532" i="6"/>
  <c r="I532" i="6"/>
  <c r="J531" i="6"/>
  <c r="I531" i="6"/>
  <c r="J530" i="6"/>
  <c r="I530" i="6"/>
  <c r="J529" i="6"/>
  <c r="I529" i="6"/>
  <c r="J528" i="6"/>
  <c r="I528" i="6"/>
  <c r="J527" i="6"/>
  <c r="I527" i="6"/>
  <c r="J526" i="6"/>
  <c r="I526" i="6"/>
  <c r="J525" i="6"/>
  <c r="I525" i="6"/>
  <c r="J524" i="6"/>
  <c r="I524" i="6"/>
  <c r="J523" i="6"/>
  <c r="I523" i="6"/>
  <c r="J522" i="6"/>
  <c r="I522" i="6"/>
  <c r="J521" i="6"/>
  <c r="I521" i="6"/>
  <c r="J520" i="6"/>
  <c r="I520" i="6"/>
  <c r="J519" i="6"/>
  <c r="I519" i="6"/>
  <c r="J518" i="6"/>
  <c r="I518" i="6"/>
  <c r="J517" i="6"/>
  <c r="I517" i="6"/>
  <c r="J516" i="6"/>
  <c r="I516" i="6"/>
  <c r="J515" i="6"/>
  <c r="I515" i="6"/>
  <c r="K515" i="6" s="1"/>
  <c r="J514" i="6"/>
  <c r="I514" i="6"/>
  <c r="K514" i="6" s="1"/>
  <c r="J513" i="6"/>
  <c r="I513" i="6"/>
  <c r="K513" i="6" s="1"/>
  <c r="J512" i="6"/>
  <c r="I512" i="6"/>
  <c r="K512" i="6" s="1"/>
  <c r="J511" i="6"/>
  <c r="I511" i="6"/>
  <c r="K511" i="6" s="1"/>
  <c r="J510" i="6"/>
  <c r="I510" i="6"/>
  <c r="K510" i="6" s="1"/>
  <c r="J509" i="6"/>
  <c r="I509" i="6"/>
  <c r="K509" i="6" s="1"/>
  <c r="J508" i="6"/>
  <c r="I508" i="6"/>
  <c r="K508" i="6" s="1"/>
  <c r="J507" i="6"/>
  <c r="I507" i="6"/>
  <c r="K507" i="6" s="1"/>
  <c r="J506" i="6"/>
  <c r="I506" i="6"/>
  <c r="K506" i="6" s="1"/>
  <c r="J505" i="6"/>
  <c r="I505" i="6"/>
  <c r="K505" i="6" s="1"/>
  <c r="J504" i="6"/>
  <c r="I504" i="6"/>
  <c r="K504" i="6" s="1"/>
  <c r="J503" i="6"/>
  <c r="I503" i="6"/>
  <c r="K503" i="6" s="1"/>
  <c r="J502" i="6"/>
  <c r="I502" i="6"/>
  <c r="K502" i="6" s="1"/>
  <c r="J501" i="6"/>
  <c r="I501" i="6"/>
  <c r="K501" i="6" s="1"/>
  <c r="J500" i="6"/>
  <c r="I500" i="6"/>
  <c r="K500" i="6" s="1"/>
  <c r="J499" i="6"/>
  <c r="I499" i="6"/>
  <c r="K499" i="6" s="1"/>
  <c r="J498" i="6"/>
  <c r="I498" i="6"/>
  <c r="K498" i="6" s="1"/>
  <c r="J497" i="6"/>
  <c r="I497" i="6"/>
  <c r="K497" i="6" s="1"/>
  <c r="J496" i="6"/>
  <c r="I496" i="6"/>
  <c r="K496" i="6" s="1"/>
  <c r="J495" i="6"/>
  <c r="I495" i="6"/>
  <c r="K495" i="6" s="1"/>
  <c r="J494" i="6"/>
  <c r="I494" i="6"/>
  <c r="K494" i="6" s="1"/>
  <c r="J493" i="6"/>
  <c r="I493" i="6"/>
  <c r="K493" i="6" s="1"/>
  <c r="J492" i="6"/>
  <c r="I492" i="6"/>
  <c r="K492" i="6" s="1"/>
  <c r="J491" i="6"/>
  <c r="I491" i="6"/>
  <c r="K491" i="6" s="1"/>
  <c r="J490" i="6"/>
  <c r="I490" i="6"/>
  <c r="K490" i="6" s="1"/>
  <c r="J489" i="6"/>
  <c r="I489" i="6"/>
  <c r="K489" i="6" s="1"/>
  <c r="J488" i="6"/>
  <c r="I488" i="6"/>
  <c r="K488" i="6" s="1"/>
  <c r="J487" i="6"/>
  <c r="I487" i="6"/>
  <c r="K487" i="6" s="1"/>
  <c r="J486" i="6"/>
  <c r="I486" i="6"/>
  <c r="K486" i="6" s="1"/>
  <c r="J485" i="6"/>
  <c r="I485" i="6"/>
  <c r="K485" i="6" s="1"/>
  <c r="J484" i="6"/>
  <c r="I484" i="6"/>
  <c r="K484" i="6" s="1"/>
  <c r="J483" i="6"/>
  <c r="I483" i="6"/>
  <c r="K483" i="6" s="1"/>
  <c r="J482" i="6"/>
  <c r="I482" i="6"/>
  <c r="J481" i="6"/>
  <c r="I481" i="6"/>
  <c r="J480" i="6"/>
  <c r="I480" i="6"/>
  <c r="K480" i="6" s="1"/>
  <c r="J479" i="6"/>
  <c r="I479" i="6"/>
  <c r="K479" i="6" s="1"/>
  <c r="J478" i="6"/>
  <c r="I478" i="6"/>
  <c r="K478" i="6" s="1"/>
  <c r="J477" i="6"/>
  <c r="I477" i="6"/>
  <c r="K477" i="6" s="1"/>
  <c r="J476" i="6"/>
  <c r="I476" i="6"/>
  <c r="K476" i="6" s="1"/>
  <c r="J475" i="6"/>
  <c r="I475" i="6"/>
  <c r="K475" i="6" s="1"/>
  <c r="J474" i="6"/>
  <c r="I474" i="6"/>
  <c r="J473" i="6"/>
  <c r="I473" i="6"/>
  <c r="J472" i="6"/>
  <c r="I472" i="6"/>
  <c r="K472" i="6" s="1"/>
  <c r="J471" i="6"/>
  <c r="I471" i="6"/>
  <c r="K471" i="6" s="1"/>
  <c r="J470" i="6"/>
  <c r="I470" i="6"/>
  <c r="K470" i="6" s="1"/>
  <c r="J469" i="6"/>
  <c r="I469" i="6"/>
  <c r="K469" i="6" s="1"/>
  <c r="J468" i="6"/>
  <c r="I468" i="6"/>
  <c r="K468" i="6" s="1"/>
  <c r="J467" i="6"/>
  <c r="I467" i="6"/>
  <c r="K467" i="6" s="1"/>
  <c r="J466" i="6"/>
  <c r="I466" i="6"/>
  <c r="J465" i="6"/>
  <c r="I465" i="6"/>
  <c r="J464" i="6"/>
  <c r="I464" i="6"/>
  <c r="N463" i="6"/>
  <c r="N462" i="6"/>
  <c r="N461" i="6"/>
  <c r="N460" i="6"/>
  <c r="N459" i="6"/>
  <c r="L459" i="6"/>
  <c r="N458" i="6"/>
  <c r="L458" i="6"/>
  <c r="O458" i="6" s="1"/>
  <c r="N457" i="6"/>
  <c r="L457" i="6"/>
  <c r="N456" i="6"/>
  <c r="L456" i="6"/>
  <c r="O456" i="6" s="1"/>
  <c r="N455" i="6"/>
  <c r="L455" i="6"/>
  <c r="J455" i="6"/>
  <c r="I455" i="6"/>
  <c r="J454" i="6"/>
  <c r="J453" i="6"/>
  <c r="J452" i="6"/>
  <c r="I452" i="6"/>
  <c r="K452" i="6" s="1"/>
  <c r="J451" i="6"/>
  <c r="I451" i="6"/>
  <c r="K451" i="6" s="1"/>
  <c r="J450" i="6"/>
  <c r="I450" i="6"/>
  <c r="J449" i="6"/>
  <c r="I449" i="6"/>
  <c r="J448" i="6"/>
  <c r="J447" i="6"/>
  <c r="J446" i="6"/>
  <c r="J445" i="6"/>
  <c r="N443" i="6"/>
  <c r="N442" i="6"/>
  <c r="N441" i="6"/>
  <c r="N440" i="6"/>
  <c r="N439" i="6"/>
  <c r="L439" i="6"/>
  <c r="N438" i="6"/>
  <c r="L438" i="6"/>
  <c r="O438" i="6" s="1"/>
  <c r="N437" i="6"/>
  <c r="L437" i="6"/>
  <c r="N436" i="6"/>
  <c r="L436" i="6"/>
  <c r="O436" i="6" s="1"/>
  <c r="N435" i="6"/>
  <c r="L435" i="6"/>
  <c r="J435" i="6"/>
  <c r="I435" i="6"/>
  <c r="J434" i="6"/>
  <c r="J433" i="6"/>
  <c r="J432" i="6"/>
  <c r="I432" i="6"/>
  <c r="J431" i="6"/>
  <c r="I431" i="6"/>
  <c r="J430" i="6"/>
  <c r="I430" i="6"/>
  <c r="J429" i="6"/>
  <c r="I429" i="6"/>
  <c r="J428" i="6"/>
  <c r="I428" i="6"/>
  <c r="J427" i="6"/>
  <c r="I427" i="6"/>
  <c r="J426" i="6"/>
  <c r="I426" i="6"/>
  <c r="J425" i="6"/>
  <c r="I425" i="6"/>
  <c r="J424" i="6"/>
  <c r="I424" i="6"/>
  <c r="J423" i="6"/>
  <c r="I423" i="6"/>
  <c r="J422" i="6"/>
  <c r="I422" i="6"/>
  <c r="J421" i="6"/>
  <c r="I421" i="6"/>
  <c r="J420" i="6"/>
  <c r="I420" i="6"/>
  <c r="J419" i="6"/>
  <c r="I419" i="6"/>
  <c r="J418" i="6"/>
  <c r="I418" i="6"/>
  <c r="J417" i="6"/>
  <c r="I417" i="6"/>
  <c r="J416" i="6"/>
  <c r="I416" i="6"/>
  <c r="J415" i="6"/>
  <c r="J414" i="6"/>
  <c r="J413" i="6"/>
  <c r="J412" i="6"/>
  <c r="N410" i="6"/>
  <c r="N409" i="6"/>
  <c r="N408" i="6"/>
  <c r="N407" i="6"/>
  <c r="N406" i="6"/>
  <c r="L406" i="6"/>
  <c r="N405" i="6"/>
  <c r="L405" i="6"/>
  <c r="O405" i="6" s="1"/>
  <c r="N404" i="6"/>
  <c r="L404" i="6"/>
  <c r="N403" i="6"/>
  <c r="L403" i="6"/>
  <c r="O403" i="6" s="1"/>
  <c r="J402" i="6"/>
  <c r="I402" i="6"/>
  <c r="N401" i="6"/>
  <c r="L401" i="6"/>
  <c r="J401" i="6"/>
  <c r="I401" i="6"/>
  <c r="J400" i="6"/>
  <c r="J399" i="6"/>
  <c r="J398" i="6"/>
  <c r="I398" i="6"/>
  <c r="J397" i="6"/>
  <c r="I397" i="6"/>
  <c r="J396" i="6"/>
  <c r="I396" i="6"/>
  <c r="J394" i="6"/>
  <c r="J393" i="6"/>
  <c r="J392" i="6"/>
  <c r="J391" i="6"/>
  <c r="N389" i="6"/>
  <c r="N388" i="6"/>
  <c r="N387" i="6"/>
  <c r="N386" i="6"/>
  <c r="N385" i="6"/>
  <c r="L385" i="6"/>
  <c r="N384" i="6"/>
  <c r="L384" i="6"/>
  <c r="O384" i="6" s="1"/>
  <c r="N383" i="6"/>
  <c r="L383" i="6"/>
  <c r="N382" i="6"/>
  <c r="L382" i="6"/>
  <c r="O382" i="6" s="1"/>
  <c r="J381" i="6"/>
  <c r="I381" i="6"/>
  <c r="N380" i="6"/>
  <c r="L380" i="6"/>
  <c r="J380" i="6"/>
  <c r="I380" i="6"/>
  <c r="J379" i="6"/>
  <c r="J378" i="6"/>
  <c r="J377" i="6"/>
  <c r="I377" i="6"/>
  <c r="K377" i="6" s="1"/>
  <c r="J376" i="6"/>
  <c r="I376" i="6"/>
  <c r="K376" i="6" s="1"/>
  <c r="J375" i="6"/>
  <c r="I375" i="6"/>
  <c r="K375" i="6" s="1"/>
  <c r="J374" i="6"/>
  <c r="I374" i="6"/>
  <c r="J373" i="6"/>
  <c r="I373" i="6"/>
  <c r="K373" i="6" s="1"/>
  <c r="J372" i="6"/>
  <c r="I372" i="6"/>
  <c r="K372" i="6" s="1"/>
  <c r="J371" i="6"/>
  <c r="I371" i="6"/>
  <c r="K371" i="6" s="1"/>
  <c r="J370" i="6"/>
  <c r="I370" i="6"/>
  <c r="K370" i="6" s="1"/>
  <c r="J369" i="6"/>
  <c r="I369" i="6"/>
  <c r="J368" i="6"/>
  <c r="I368" i="6"/>
  <c r="K368" i="6" s="1"/>
  <c r="J367" i="6"/>
  <c r="J366" i="6"/>
  <c r="J365" i="6"/>
  <c r="I365" i="6"/>
  <c r="K365" i="6" s="1"/>
  <c r="J364" i="6"/>
  <c r="J363" i="6"/>
  <c r="J362" i="6"/>
  <c r="J361" i="6"/>
  <c r="J360" i="6"/>
  <c r="N358" i="6"/>
  <c r="N357" i="6"/>
  <c r="N356" i="6"/>
  <c r="N355" i="6"/>
  <c r="N354" i="6"/>
  <c r="L354" i="6"/>
  <c r="N353" i="6"/>
  <c r="L353" i="6"/>
  <c r="N352" i="6"/>
  <c r="L352" i="6"/>
  <c r="O352" i="6" s="1"/>
  <c r="N351" i="6"/>
  <c r="L351" i="6"/>
  <c r="O351" i="6" s="1"/>
  <c r="J350" i="6"/>
  <c r="I350" i="6"/>
  <c r="K350" i="6" s="1"/>
  <c r="N349" i="6"/>
  <c r="L349" i="6"/>
  <c r="O349" i="6" s="1"/>
  <c r="J349" i="6"/>
  <c r="I349" i="6"/>
  <c r="K349" i="6" s="1"/>
  <c r="N347" i="6"/>
  <c r="L347" i="6"/>
  <c r="J346" i="6"/>
  <c r="I346" i="6"/>
  <c r="K346" i="6" s="1"/>
  <c r="J345" i="6"/>
  <c r="I345" i="6"/>
  <c r="J344" i="6"/>
  <c r="I344" i="6"/>
  <c r="K344" i="6" s="1"/>
  <c r="J343" i="6"/>
  <c r="I343" i="6"/>
  <c r="J342" i="6"/>
  <c r="I342" i="6"/>
  <c r="K342" i="6" s="1"/>
  <c r="J341" i="6"/>
  <c r="I341" i="6"/>
  <c r="J340" i="6"/>
  <c r="I340" i="6"/>
  <c r="J339" i="6"/>
  <c r="I339" i="6"/>
  <c r="K339" i="6" s="1"/>
  <c r="N337" i="6"/>
  <c r="L337" i="6"/>
  <c r="O337" i="6" s="1"/>
  <c r="L335" i="6"/>
  <c r="L334" i="6"/>
  <c r="N333" i="6"/>
  <c r="M333" i="6"/>
  <c r="M331" i="6" s="1"/>
  <c r="O332" i="6"/>
  <c r="P330" i="6"/>
  <c r="N330" i="6"/>
  <c r="M330" i="6"/>
  <c r="L330" i="6"/>
  <c r="J328" i="6"/>
  <c r="I328" i="6"/>
  <c r="J326" i="6"/>
  <c r="J325" i="6"/>
  <c r="J324" i="6"/>
  <c r="I324" i="6"/>
  <c r="K324" i="6" s="1"/>
  <c r="J323" i="6"/>
  <c r="J322" i="6"/>
  <c r="J321" i="6"/>
  <c r="J320" i="6"/>
  <c r="N318" i="6"/>
  <c r="L318" i="6"/>
  <c r="L316" i="6"/>
  <c r="L315" i="6"/>
  <c r="N314" i="6"/>
  <c r="M314" i="6"/>
  <c r="P314" i="6" s="1"/>
  <c r="O313" i="6"/>
  <c r="N311" i="6"/>
  <c r="M311" i="6"/>
  <c r="P311" i="6" s="1"/>
  <c r="L311" i="6"/>
  <c r="O311" i="6" s="1"/>
  <c r="J309" i="6"/>
  <c r="I309" i="6"/>
  <c r="K309" i="6" s="1"/>
  <c r="J308" i="6"/>
  <c r="J307" i="6"/>
  <c r="J306" i="6"/>
  <c r="I306" i="6"/>
  <c r="K306" i="6" s="1"/>
  <c r="J304" i="6"/>
  <c r="I304" i="6"/>
  <c r="K304" i="6" s="1"/>
  <c r="J303" i="6"/>
  <c r="J302" i="6"/>
  <c r="J301" i="6"/>
  <c r="J300" i="6"/>
  <c r="N298" i="6"/>
  <c r="L298" i="6"/>
  <c r="O298" i="6" s="1"/>
  <c r="L296" i="6"/>
  <c r="L295" i="6"/>
  <c r="N294" i="6"/>
  <c r="M294" i="6"/>
  <c r="M292" i="6" s="1"/>
  <c r="P292" i="6" s="1"/>
  <c r="O293" i="6"/>
  <c r="O291" i="6"/>
  <c r="N291" i="6"/>
  <c r="M291" i="6"/>
  <c r="P291" i="6" s="1"/>
  <c r="L291" i="6"/>
  <c r="J289" i="6"/>
  <c r="I289" i="6"/>
  <c r="K289" i="6" s="1"/>
  <c r="J287" i="6"/>
  <c r="J286" i="6"/>
  <c r="J285" i="6"/>
  <c r="I285" i="6"/>
  <c r="K285" i="6" s="1"/>
  <c r="J284" i="6"/>
  <c r="J283" i="6"/>
  <c r="J282" i="6"/>
  <c r="J281" i="6"/>
  <c r="N279" i="6"/>
  <c r="L279" i="6"/>
  <c r="O279" i="6" s="1"/>
  <c r="L277" i="6"/>
  <c r="L276" i="6"/>
  <c r="N275" i="6"/>
  <c r="M275" i="6"/>
  <c r="O274" i="6"/>
  <c r="P272" i="6"/>
  <c r="N272" i="6"/>
  <c r="M272" i="6"/>
  <c r="L272" i="6"/>
  <c r="O272" i="6" s="1"/>
  <c r="J270" i="6"/>
  <c r="I270" i="6"/>
  <c r="K270" i="6" s="1"/>
  <c r="J269" i="6"/>
  <c r="J268" i="6"/>
  <c r="J267" i="6"/>
  <c r="I267" i="6"/>
  <c r="K267" i="6" s="1"/>
  <c r="J266" i="6"/>
  <c r="I266" i="6"/>
  <c r="K266" i="6" s="1"/>
  <c r="J265" i="6"/>
  <c r="I265" i="6"/>
  <c r="K265" i="6" s="1"/>
  <c r="J264" i="6"/>
  <c r="I264" i="6"/>
  <c r="K264" i="6" s="1"/>
  <c r="J263" i="6"/>
  <c r="J262" i="6"/>
  <c r="J261" i="6"/>
  <c r="J260" i="6"/>
  <c r="N258" i="6"/>
  <c r="L258" i="6"/>
  <c r="O258" i="6" s="1"/>
  <c r="L256" i="6"/>
  <c r="L255" i="6"/>
  <c r="N254" i="6"/>
  <c r="M254" i="6"/>
  <c r="O253" i="6"/>
  <c r="P251" i="6"/>
  <c r="O251" i="6"/>
  <c r="N251" i="6"/>
  <c r="M251" i="6"/>
  <c r="L251" i="6"/>
  <c r="J249" i="6"/>
  <c r="I249" i="6"/>
  <c r="K249" i="6" s="1"/>
  <c r="J246" i="6"/>
  <c r="J245" i="6"/>
  <c r="J244" i="6"/>
  <c r="I244" i="6"/>
  <c r="K244" i="6" s="1"/>
  <c r="J243" i="6"/>
  <c r="J242" i="6"/>
  <c r="J241" i="6"/>
  <c r="J240" i="6"/>
  <c r="J238" i="6"/>
  <c r="I238" i="6"/>
  <c r="K238" i="6" s="1"/>
  <c r="J237" i="6"/>
  <c r="J236" i="6"/>
  <c r="J235" i="6"/>
  <c r="I235" i="6"/>
  <c r="J234" i="6"/>
  <c r="J233" i="6"/>
  <c r="J232" i="6"/>
  <c r="J231" i="6"/>
  <c r="J229" i="6"/>
  <c r="I229" i="6"/>
  <c r="N228" i="6"/>
  <c r="L228" i="6"/>
  <c r="O228" i="6" s="1"/>
  <c r="L226" i="6"/>
  <c r="L225" i="6"/>
  <c r="N224" i="6"/>
  <c r="M224" i="6"/>
  <c r="O223" i="6"/>
  <c r="N221" i="6"/>
  <c r="M221" i="6"/>
  <c r="L221" i="6"/>
  <c r="J219" i="6"/>
  <c r="I219" i="6"/>
  <c r="J218" i="6"/>
  <c r="J217" i="6"/>
  <c r="J216" i="6"/>
  <c r="I216" i="6"/>
  <c r="K216" i="6" s="1"/>
  <c r="J215" i="6"/>
  <c r="I215" i="6"/>
  <c r="K215" i="6" s="1"/>
  <c r="J213" i="6"/>
  <c r="I213" i="6"/>
  <c r="K213" i="6" s="1"/>
  <c r="J212" i="6"/>
  <c r="J211" i="6"/>
  <c r="J210" i="6"/>
  <c r="J209" i="6"/>
  <c r="J204" i="6"/>
  <c r="I204" i="6"/>
  <c r="K204" i="6" s="1"/>
  <c r="J203" i="6"/>
  <c r="J202" i="6"/>
  <c r="J201" i="6"/>
  <c r="I201" i="6"/>
  <c r="K201" i="6" s="1"/>
  <c r="J200" i="6"/>
  <c r="I200" i="6"/>
  <c r="J199" i="6"/>
  <c r="I199" i="6"/>
  <c r="J197" i="6"/>
  <c r="J196" i="6"/>
  <c r="J195" i="6"/>
  <c r="J194" i="6"/>
  <c r="J189" i="6"/>
  <c r="I189" i="6"/>
  <c r="J188" i="6"/>
  <c r="J187" i="6"/>
  <c r="J186" i="6"/>
  <c r="I186" i="6"/>
  <c r="K186" i="6" s="1"/>
  <c r="J185" i="6"/>
  <c r="I185" i="6"/>
  <c r="K185" i="6" s="1"/>
  <c r="J184" i="6"/>
  <c r="J183" i="6"/>
  <c r="J182" i="6"/>
  <c r="J181" i="6"/>
  <c r="J176" i="6"/>
  <c r="I176" i="6"/>
  <c r="K176" i="6" s="1"/>
  <c r="J175" i="6"/>
  <c r="J174" i="6"/>
  <c r="J173" i="6"/>
  <c r="I173" i="6"/>
  <c r="J172" i="6"/>
  <c r="J171" i="6"/>
  <c r="J170" i="6"/>
  <c r="J169" i="6"/>
  <c r="J164" i="6"/>
  <c r="I164" i="6"/>
  <c r="J163" i="6"/>
  <c r="J162" i="6"/>
  <c r="J161" i="6"/>
  <c r="J160" i="6"/>
  <c r="J159" i="6"/>
  <c r="J158" i="6"/>
  <c r="I158" i="6"/>
  <c r="J157" i="6"/>
  <c r="J156" i="6"/>
  <c r="J155" i="6"/>
  <c r="J154" i="6"/>
  <c r="J149" i="6"/>
  <c r="I149" i="6"/>
  <c r="N148" i="6"/>
  <c r="L148" i="6"/>
  <c r="O148" i="6" s="1"/>
  <c r="L146" i="6"/>
  <c r="L145" i="6"/>
  <c r="N144" i="6"/>
  <c r="M144" i="6"/>
  <c r="O143" i="6"/>
  <c r="P141" i="6"/>
  <c r="O141" i="6"/>
  <c r="N141" i="6"/>
  <c r="M141" i="6"/>
  <c r="L141" i="6"/>
  <c r="J138" i="6"/>
  <c r="I138" i="6"/>
  <c r="K138" i="6" s="1"/>
  <c r="J135" i="6"/>
  <c r="J134" i="6"/>
  <c r="J133" i="6"/>
  <c r="I133" i="6"/>
  <c r="K133" i="6" s="1"/>
  <c r="J132" i="6"/>
  <c r="I132" i="6"/>
  <c r="K132" i="6" s="1"/>
  <c r="J131" i="6"/>
  <c r="J130" i="6"/>
  <c r="J129" i="6"/>
  <c r="J128" i="6"/>
  <c r="N126" i="6"/>
  <c r="L126" i="6"/>
  <c r="O126" i="6" s="1"/>
  <c r="L124" i="6"/>
  <c r="L123" i="6"/>
  <c r="N122" i="6"/>
  <c r="M122" i="6"/>
  <c r="O121" i="6"/>
  <c r="P119" i="6"/>
  <c r="N119" i="6"/>
  <c r="M119" i="6"/>
  <c r="L119" i="6"/>
  <c r="O119" i="6" s="1"/>
  <c r="J117" i="6"/>
  <c r="I117" i="6"/>
  <c r="K117" i="6" s="1"/>
  <c r="J115" i="6"/>
  <c r="J114" i="6"/>
  <c r="J113" i="6"/>
  <c r="I113" i="6"/>
  <c r="K113" i="6" s="1"/>
  <c r="J112" i="6"/>
  <c r="I112" i="6"/>
  <c r="K112" i="6" s="1"/>
  <c r="J111" i="6"/>
  <c r="I111" i="6"/>
  <c r="K111" i="6" s="1"/>
  <c r="J110" i="6"/>
  <c r="I110" i="6"/>
  <c r="K110" i="6" s="1"/>
  <c r="J109" i="6"/>
  <c r="I109" i="6"/>
  <c r="K109" i="6" s="1"/>
  <c r="J108" i="6"/>
  <c r="I108" i="6"/>
  <c r="K108" i="6" s="1"/>
  <c r="J107" i="6"/>
  <c r="J106" i="6"/>
  <c r="J105" i="6"/>
  <c r="J104" i="6"/>
  <c r="N102" i="6"/>
  <c r="L102" i="6"/>
  <c r="O102" i="6" s="1"/>
  <c r="L100" i="6"/>
  <c r="L99" i="6"/>
  <c r="N98" i="6"/>
  <c r="M98" i="6"/>
  <c r="P98" i="6" s="1"/>
  <c r="O97" i="6"/>
  <c r="O95" i="6"/>
  <c r="N95" i="6"/>
  <c r="M95" i="6"/>
  <c r="L95" i="6"/>
  <c r="J93" i="6"/>
  <c r="I93" i="6"/>
  <c r="K93" i="6" s="1"/>
  <c r="J92" i="6"/>
  <c r="I92" i="6"/>
  <c r="K92" i="6" s="1"/>
  <c r="J90" i="6"/>
  <c r="J89" i="6"/>
  <c r="J88" i="6"/>
  <c r="I88" i="6"/>
  <c r="K88" i="6" s="1"/>
  <c r="J87" i="6"/>
  <c r="I87" i="6"/>
  <c r="K87" i="6" s="1"/>
  <c r="J86" i="6"/>
  <c r="I86" i="6"/>
  <c r="K86" i="6" s="1"/>
  <c r="J85" i="6"/>
  <c r="I85" i="6"/>
  <c r="K85" i="6" s="1"/>
  <c r="J84" i="6"/>
  <c r="I84" i="6"/>
  <c r="K84" i="6" s="1"/>
  <c r="J83" i="6"/>
  <c r="I83" i="6"/>
  <c r="K83" i="6" s="1"/>
  <c r="J82" i="6"/>
  <c r="I82" i="6"/>
  <c r="K82" i="6" s="1"/>
  <c r="J81" i="6"/>
  <c r="I81" i="6"/>
  <c r="K81" i="6" s="1"/>
  <c r="J80" i="6"/>
  <c r="I80" i="6"/>
  <c r="K80" i="6" s="1"/>
  <c r="J79" i="6"/>
  <c r="J78" i="6"/>
  <c r="J77" i="6"/>
  <c r="J76" i="6"/>
  <c r="N74" i="6"/>
  <c r="L74" i="6"/>
  <c r="O74" i="6" s="1"/>
  <c r="L72" i="6"/>
  <c r="L71" i="6"/>
  <c r="N70" i="6"/>
  <c r="M70" i="6"/>
  <c r="O69" i="6"/>
  <c r="P67" i="6"/>
  <c r="O67" i="6"/>
  <c r="N67" i="6"/>
  <c r="M67" i="6"/>
  <c r="L67" i="6"/>
  <c r="J65" i="6"/>
  <c r="I65" i="6"/>
  <c r="K65" i="6" s="1"/>
  <c r="J64" i="6"/>
  <c r="I64" i="6"/>
  <c r="K64" i="6" s="1"/>
  <c r="N61" i="6"/>
  <c r="L61" i="6"/>
  <c r="L59" i="6"/>
  <c r="L58" i="6"/>
  <c r="N57" i="6"/>
  <c r="M57" i="6"/>
  <c r="M55" i="6" s="1"/>
  <c r="O54" i="6"/>
  <c r="N54" i="6"/>
  <c r="M54" i="6"/>
  <c r="L54" i="6"/>
  <c r="N49" i="6"/>
  <c r="L49" i="6"/>
  <c r="M49" i="6" s="1"/>
  <c r="M26" i="6" s="1"/>
  <c r="L47" i="6"/>
  <c r="L46" i="6"/>
  <c r="N45" i="6"/>
  <c r="M45" i="6"/>
  <c r="P42" i="6"/>
  <c r="N42" i="6"/>
  <c r="M42" i="6"/>
  <c r="L42" i="6"/>
  <c r="O42" i="6" s="1"/>
  <c r="P36" i="6"/>
  <c r="O36" i="6"/>
  <c r="P35" i="6"/>
  <c r="O35" i="6"/>
  <c r="M34" i="6"/>
  <c r="P34" i="6" s="1"/>
  <c r="P33" i="6"/>
  <c r="M33" i="6"/>
  <c r="M32" i="6"/>
  <c r="M31" i="6"/>
  <c r="P31" i="6" s="1"/>
  <c r="M29" i="6"/>
  <c r="N25" i="6"/>
  <c r="N15" i="6" s="1"/>
  <c r="M25" i="6"/>
  <c r="P25" i="6" s="1"/>
  <c r="L25" i="6"/>
  <c r="P24" i="6"/>
  <c r="N24" i="6"/>
  <c r="M24" i="6"/>
  <c r="N23" i="6"/>
  <c r="M23" i="6"/>
  <c r="P21" i="6"/>
  <c r="O21" i="6"/>
  <c r="N21" i="6"/>
  <c r="M21" i="6"/>
  <c r="L21" i="6"/>
  <c r="M19" i="6"/>
  <c r="P19" i="6" s="1"/>
  <c r="P15" i="6"/>
  <c r="M15" i="6"/>
  <c r="M14" i="6"/>
  <c r="P14" i="6" s="1"/>
  <c r="M11" i="6"/>
  <c r="J635" i="5"/>
  <c r="I635" i="5"/>
  <c r="J634" i="5"/>
  <c r="I634" i="5"/>
  <c r="J633" i="5"/>
  <c r="I633" i="5"/>
  <c r="K633" i="5" s="1"/>
  <c r="J632" i="5"/>
  <c r="I632" i="5"/>
  <c r="K632" i="5" s="1"/>
  <c r="J631" i="5"/>
  <c r="I631" i="5"/>
  <c r="J630" i="5"/>
  <c r="I630" i="5"/>
  <c r="J629" i="5"/>
  <c r="I629" i="5"/>
  <c r="J628" i="5"/>
  <c r="I628" i="5"/>
  <c r="J626" i="5"/>
  <c r="I626" i="5"/>
  <c r="J625" i="5"/>
  <c r="I625" i="5"/>
  <c r="J624" i="5"/>
  <c r="I624" i="5"/>
  <c r="J623" i="5"/>
  <c r="I623" i="5"/>
  <c r="J622" i="5"/>
  <c r="I622" i="5"/>
  <c r="J621" i="5"/>
  <c r="I621" i="5"/>
  <c r="J620" i="5"/>
  <c r="I620" i="5"/>
  <c r="K623" i="5" s="1"/>
  <c r="J619" i="5"/>
  <c r="I619" i="5"/>
  <c r="J618" i="5"/>
  <c r="I618" i="5"/>
  <c r="J617" i="5"/>
  <c r="I617" i="5"/>
  <c r="J616" i="5"/>
  <c r="I616" i="5"/>
  <c r="J615" i="5"/>
  <c r="I615" i="5"/>
  <c r="J614" i="5"/>
  <c r="I614" i="5"/>
  <c r="J613" i="5"/>
  <c r="I613" i="5"/>
  <c r="J612" i="5"/>
  <c r="I612" i="5"/>
  <c r="J611" i="5"/>
  <c r="I611" i="5"/>
  <c r="J610" i="5"/>
  <c r="J609" i="5"/>
  <c r="J608" i="5"/>
  <c r="J607" i="5"/>
  <c r="N605" i="5"/>
  <c r="N604" i="5"/>
  <c r="N603" i="5"/>
  <c r="N602" i="5"/>
  <c r="N601" i="5"/>
  <c r="L601" i="5"/>
  <c r="N600" i="5"/>
  <c r="L600" i="5"/>
  <c r="O600" i="5" s="1"/>
  <c r="N599" i="5"/>
  <c r="L599" i="5"/>
  <c r="N598" i="5"/>
  <c r="L598" i="5"/>
  <c r="O598" i="5" s="1"/>
  <c r="N597" i="5"/>
  <c r="L597" i="5"/>
  <c r="J597" i="5"/>
  <c r="I597" i="5"/>
  <c r="J596" i="5"/>
  <c r="I596" i="5"/>
  <c r="K596" i="5" s="1"/>
  <c r="J595" i="5"/>
  <c r="I595" i="5"/>
  <c r="J594" i="5"/>
  <c r="I594" i="5"/>
  <c r="K594" i="5" s="1"/>
  <c r="J593" i="5"/>
  <c r="I593" i="5"/>
  <c r="J592" i="5"/>
  <c r="I592" i="5"/>
  <c r="K592" i="5" s="1"/>
  <c r="J591" i="5"/>
  <c r="I591" i="5"/>
  <c r="J590" i="5"/>
  <c r="I590" i="5"/>
  <c r="K590" i="5" s="1"/>
  <c r="J589" i="5"/>
  <c r="I589" i="5"/>
  <c r="N588" i="5"/>
  <c r="N587" i="5"/>
  <c r="N586" i="5"/>
  <c r="N585" i="5"/>
  <c r="N584" i="5"/>
  <c r="L584" i="5"/>
  <c r="N583" i="5"/>
  <c r="L583" i="5"/>
  <c r="O583" i="5" s="1"/>
  <c r="N582" i="5"/>
  <c r="L582" i="5"/>
  <c r="N581" i="5"/>
  <c r="L581" i="5"/>
  <c r="O581" i="5" s="1"/>
  <c r="N580" i="5"/>
  <c r="L580" i="5"/>
  <c r="J580" i="5"/>
  <c r="I580" i="5"/>
  <c r="J579" i="5"/>
  <c r="I579" i="5"/>
  <c r="K579" i="5" s="1"/>
  <c r="J578" i="5"/>
  <c r="I578" i="5"/>
  <c r="K578" i="5" s="1"/>
  <c r="J577" i="5"/>
  <c r="I577" i="5"/>
  <c r="K577" i="5" s="1"/>
  <c r="J576" i="5"/>
  <c r="I576" i="5"/>
  <c r="K576" i="5" s="1"/>
  <c r="J575" i="5"/>
  <c r="I575" i="5"/>
  <c r="K575" i="5" s="1"/>
  <c r="J573" i="5"/>
  <c r="I573" i="5"/>
  <c r="N572" i="5"/>
  <c r="N571" i="5"/>
  <c r="N570" i="5"/>
  <c r="N569" i="5"/>
  <c r="N568" i="5"/>
  <c r="L568" i="5"/>
  <c r="N567" i="5"/>
  <c r="L567" i="5"/>
  <c r="O567" i="5" s="1"/>
  <c r="N566" i="5"/>
  <c r="L566" i="5"/>
  <c r="N565" i="5"/>
  <c r="L565" i="5"/>
  <c r="O565" i="5" s="1"/>
  <c r="N564" i="5"/>
  <c r="L564" i="5"/>
  <c r="J564" i="5"/>
  <c r="I564" i="5"/>
  <c r="J561" i="5"/>
  <c r="I561" i="5"/>
  <c r="K561" i="5" s="1"/>
  <c r="J560" i="5"/>
  <c r="I560" i="5"/>
  <c r="K560" i="5" s="1"/>
  <c r="N559" i="5"/>
  <c r="N558" i="5"/>
  <c r="N557" i="5"/>
  <c r="N556" i="5"/>
  <c r="N555" i="5"/>
  <c r="L555" i="5"/>
  <c r="O555" i="5" s="1"/>
  <c r="N554" i="5"/>
  <c r="L554" i="5"/>
  <c r="O554" i="5" s="1"/>
  <c r="N553" i="5"/>
  <c r="L553" i="5"/>
  <c r="O553" i="5" s="1"/>
  <c r="N552" i="5"/>
  <c r="L552" i="5"/>
  <c r="O552" i="5" s="1"/>
  <c r="N551" i="5"/>
  <c r="L551" i="5"/>
  <c r="O551" i="5" s="1"/>
  <c r="J551" i="5"/>
  <c r="I551" i="5"/>
  <c r="K551" i="5" s="1"/>
  <c r="J550" i="5"/>
  <c r="J549" i="5"/>
  <c r="J548" i="5"/>
  <c r="I548" i="5"/>
  <c r="K548" i="5" s="1"/>
  <c r="J547" i="5"/>
  <c r="I547" i="5"/>
  <c r="J546" i="5"/>
  <c r="J545" i="5"/>
  <c r="J544" i="5"/>
  <c r="J543" i="5"/>
  <c r="N541" i="5"/>
  <c r="N540" i="5"/>
  <c r="N539" i="5"/>
  <c r="N538" i="5"/>
  <c r="N537" i="5"/>
  <c r="L537" i="5"/>
  <c r="N536" i="5"/>
  <c r="L536" i="5"/>
  <c r="O536" i="5" s="1"/>
  <c r="N535" i="5"/>
  <c r="L535" i="5"/>
  <c r="N534" i="5"/>
  <c r="L534" i="5"/>
  <c r="O534" i="5" s="1"/>
  <c r="N533" i="5"/>
  <c r="L533" i="5"/>
  <c r="J533" i="5"/>
  <c r="I533" i="5"/>
  <c r="J532" i="5"/>
  <c r="I532" i="5"/>
  <c r="J531" i="5"/>
  <c r="I531" i="5"/>
  <c r="J530" i="5"/>
  <c r="I530" i="5"/>
  <c r="J529" i="5"/>
  <c r="I529" i="5"/>
  <c r="J528" i="5"/>
  <c r="I528" i="5"/>
  <c r="J527" i="5"/>
  <c r="I527" i="5"/>
  <c r="J526" i="5"/>
  <c r="I526" i="5"/>
  <c r="J525" i="5"/>
  <c r="I525" i="5"/>
  <c r="J524" i="5"/>
  <c r="I524" i="5"/>
  <c r="J523" i="5"/>
  <c r="I523" i="5"/>
  <c r="J522" i="5"/>
  <c r="I522" i="5"/>
  <c r="J521" i="5"/>
  <c r="I521" i="5"/>
  <c r="J520" i="5"/>
  <c r="I520" i="5"/>
  <c r="J519" i="5"/>
  <c r="I519" i="5"/>
  <c r="J518" i="5"/>
  <c r="I518" i="5"/>
  <c r="J517" i="5"/>
  <c r="I517" i="5"/>
  <c r="J516" i="5"/>
  <c r="I516" i="5"/>
  <c r="J515" i="5"/>
  <c r="I515" i="5"/>
  <c r="K515" i="5" s="1"/>
  <c r="J514" i="5"/>
  <c r="I514" i="5"/>
  <c r="K514" i="5" s="1"/>
  <c r="J513" i="5"/>
  <c r="I513" i="5"/>
  <c r="K513" i="5" s="1"/>
  <c r="J512" i="5"/>
  <c r="I512" i="5"/>
  <c r="K512" i="5" s="1"/>
  <c r="J511" i="5"/>
  <c r="I511" i="5"/>
  <c r="K511" i="5" s="1"/>
  <c r="J510" i="5"/>
  <c r="I510" i="5"/>
  <c r="K510" i="5" s="1"/>
  <c r="J509" i="5"/>
  <c r="I509" i="5"/>
  <c r="K509" i="5" s="1"/>
  <c r="J508" i="5"/>
  <c r="I508" i="5"/>
  <c r="K508" i="5" s="1"/>
  <c r="J507" i="5"/>
  <c r="I507" i="5"/>
  <c r="K507" i="5" s="1"/>
  <c r="J506" i="5"/>
  <c r="I506" i="5"/>
  <c r="K506" i="5" s="1"/>
  <c r="J505" i="5"/>
  <c r="I505" i="5"/>
  <c r="K505" i="5" s="1"/>
  <c r="J504" i="5"/>
  <c r="I504" i="5"/>
  <c r="K504" i="5" s="1"/>
  <c r="J503" i="5"/>
  <c r="I503" i="5"/>
  <c r="K503" i="5" s="1"/>
  <c r="J502" i="5"/>
  <c r="I502" i="5"/>
  <c r="K502" i="5" s="1"/>
  <c r="J501" i="5"/>
  <c r="I501" i="5"/>
  <c r="K501" i="5" s="1"/>
  <c r="J500" i="5"/>
  <c r="I500" i="5"/>
  <c r="K500" i="5" s="1"/>
  <c r="J499" i="5"/>
  <c r="I499" i="5"/>
  <c r="K499" i="5" s="1"/>
  <c r="J498" i="5"/>
  <c r="I498" i="5"/>
  <c r="K498" i="5" s="1"/>
  <c r="J497" i="5"/>
  <c r="I497" i="5"/>
  <c r="K497" i="5" s="1"/>
  <c r="J496" i="5"/>
  <c r="I496" i="5"/>
  <c r="K496" i="5" s="1"/>
  <c r="J495" i="5"/>
  <c r="I495" i="5"/>
  <c r="K495" i="5" s="1"/>
  <c r="J494" i="5"/>
  <c r="I494" i="5"/>
  <c r="K494" i="5" s="1"/>
  <c r="J493" i="5"/>
  <c r="I493" i="5"/>
  <c r="K493" i="5" s="1"/>
  <c r="J492" i="5"/>
  <c r="I492" i="5"/>
  <c r="K492" i="5" s="1"/>
  <c r="J491" i="5"/>
  <c r="I491" i="5"/>
  <c r="K491" i="5" s="1"/>
  <c r="J490" i="5"/>
  <c r="I490" i="5"/>
  <c r="K490" i="5" s="1"/>
  <c r="J489" i="5"/>
  <c r="I489" i="5"/>
  <c r="K489" i="5" s="1"/>
  <c r="J488" i="5"/>
  <c r="I488" i="5"/>
  <c r="K488" i="5" s="1"/>
  <c r="J487" i="5"/>
  <c r="I487" i="5"/>
  <c r="K487" i="5" s="1"/>
  <c r="J486" i="5"/>
  <c r="I486" i="5"/>
  <c r="K486" i="5" s="1"/>
  <c r="J485" i="5"/>
  <c r="I485" i="5"/>
  <c r="K485" i="5" s="1"/>
  <c r="J484" i="5"/>
  <c r="I484" i="5"/>
  <c r="K484" i="5" s="1"/>
  <c r="J483" i="5"/>
  <c r="I483" i="5"/>
  <c r="K483" i="5" s="1"/>
  <c r="J482" i="5"/>
  <c r="I482" i="5"/>
  <c r="J481" i="5"/>
  <c r="I481" i="5"/>
  <c r="J480" i="5"/>
  <c r="I480" i="5"/>
  <c r="K480" i="5" s="1"/>
  <c r="J479" i="5"/>
  <c r="I479" i="5"/>
  <c r="K479" i="5" s="1"/>
  <c r="J478" i="5"/>
  <c r="I478" i="5"/>
  <c r="K478" i="5" s="1"/>
  <c r="J477" i="5"/>
  <c r="I477" i="5"/>
  <c r="K477" i="5" s="1"/>
  <c r="J476" i="5"/>
  <c r="I476" i="5"/>
  <c r="K476" i="5" s="1"/>
  <c r="J475" i="5"/>
  <c r="I475" i="5"/>
  <c r="K475" i="5" s="1"/>
  <c r="J474" i="5"/>
  <c r="I474" i="5"/>
  <c r="J473" i="5"/>
  <c r="I473" i="5"/>
  <c r="J472" i="5"/>
  <c r="I472" i="5"/>
  <c r="K472" i="5" s="1"/>
  <c r="J471" i="5"/>
  <c r="I471" i="5"/>
  <c r="K471" i="5" s="1"/>
  <c r="J470" i="5"/>
  <c r="I470" i="5"/>
  <c r="K470" i="5" s="1"/>
  <c r="J469" i="5"/>
  <c r="I469" i="5"/>
  <c r="K469" i="5" s="1"/>
  <c r="J468" i="5"/>
  <c r="I468" i="5"/>
  <c r="K468" i="5" s="1"/>
  <c r="J467" i="5"/>
  <c r="I467" i="5"/>
  <c r="K467" i="5" s="1"/>
  <c r="J466" i="5"/>
  <c r="I466" i="5"/>
  <c r="J465" i="5"/>
  <c r="I465" i="5"/>
  <c r="J464" i="5"/>
  <c r="I464" i="5"/>
  <c r="N463" i="5"/>
  <c r="N462" i="5"/>
  <c r="N461" i="5"/>
  <c r="N460" i="5"/>
  <c r="N459" i="5"/>
  <c r="L459" i="5"/>
  <c r="N458" i="5"/>
  <c r="L458" i="5"/>
  <c r="O458" i="5" s="1"/>
  <c r="N457" i="5"/>
  <c r="L457" i="5"/>
  <c r="N456" i="5"/>
  <c r="L456" i="5"/>
  <c r="O456" i="5" s="1"/>
  <c r="N455" i="5"/>
  <c r="L455" i="5"/>
  <c r="J455" i="5"/>
  <c r="I455" i="5"/>
  <c r="J454" i="5"/>
  <c r="J453" i="5"/>
  <c r="J452" i="5"/>
  <c r="I452" i="5"/>
  <c r="K452" i="5" s="1"/>
  <c r="J451" i="5"/>
  <c r="I451" i="5"/>
  <c r="K451" i="5" s="1"/>
  <c r="J450" i="5"/>
  <c r="I450" i="5"/>
  <c r="J449" i="5"/>
  <c r="I449" i="5"/>
  <c r="J448" i="5"/>
  <c r="J447" i="5"/>
  <c r="J446" i="5"/>
  <c r="J445" i="5"/>
  <c r="N443" i="5"/>
  <c r="N442" i="5"/>
  <c r="N441" i="5"/>
  <c r="N440" i="5"/>
  <c r="N439" i="5"/>
  <c r="L439" i="5"/>
  <c r="N438" i="5"/>
  <c r="L438" i="5"/>
  <c r="O438" i="5" s="1"/>
  <c r="N437" i="5"/>
  <c r="L437" i="5"/>
  <c r="N436" i="5"/>
  <c r="L436" i="5"/>
  <c r="N435" i="5"/>
  <c r="L435" i="5"/>
  <c r="J435" i="5"/>
  <c r="I435" i="5"/>
  <c r="J434" i="5"/>
  <c r="J433" i="5"/>
  <c r="J432" i="5"/>
  <c r="I432" i="5"/>
  <c r="J431" i="5"/>
  <c r="I431" i="5"/>
  <c r="K431" i="5" s="1"/>
  <c r="J430" i="5"/>
  <c r="I430" i="5"/>
  <c r="J429" i="5"/>
  <c r="I429" i="5"/>
  <c r="J428" i="5"/>
  <c r="I428" i="5"/>
  <c r="J427" i="5"/>
  <c r="I427" i="5"/>
  <c r="J426" i="5"/>
  <c r="I426" i="5"/>
  <c r="J425" i="5"/>
  <c r="I425" i="5"/>
  <c r="J424" i="5"/>
  <c r="I424" i="5"/>
  <c r="J423" i="5"/>
  <c r="I423" i="5"/>
  <c r="J422" i="5"/>
  <c r="I422" i="5"/>
  <c r="J421" i="5"/>
  <c r="I421" i="5"/>
  <c r="J420" i="5"/>
  <c r="I420" i="5"/>
  <c r="K420" i="5" s="1"/>
  <c r="J419" i="5"/>
  <c r="I419" i="5"/>
  <c r="K419" i="5" s="1"/>
  <c r="J418" i="5"/>
  <c r="I418" i="5"/>
  <c r="K418" i="5" s="1"/>
  <c r="J417" i="5"/>
  <c r="I417" i="5"/>
  <c r="K417" i="5" s="1"/>
  <c r="J416" i="5"/>
  <c r="I416" i="5"/>
  <c r="J415" i="5"/>
  <c r="J414" i="5"/>
  <c r="J413" i="5"/>
  <c r="J412" i="5"/>
  <c r="N410" i="5"/>
  <c r="N409" i="5"/>
  <c r="N408" i="5"/>
  <c r="N407" i="5"/>
  <c r="N406" i="5"/>
  <c r="L406" i="5"/>
  <c r="N405" i="5"/>
  <c r="L405" i="5"/>
  <c r="O405" i="5" s="1"/>
  <c r="N404" i="5"/>
  <c r="L404" i="5"/>
  <c r="N403" i="5"/>
  <c r="L403" i="5"/>
  <c r="O403" i="5" s="1"/>
  <c r="J402" i="5"/>
  <c r="I402" i="5"/>
  <c r="N401" i="5"/>
  <c r="L401" i="5"/>
  <c r="J401" i="5"/>
  <c r="I401" i="5"/>
  <c r="J400" i="5"/>
  <c r="J399" i="5"/>
  <c r="J398" i="5"/>
  <c r="I398" i="5"/>
  <c r="J397" i="5"/>
  <c r="I397" i="5"/>
  <c r="J396" i="5"/>
  <c r="I396" i="5"/>
  <c r="J394" i="5"/>
  <c r="J393" i="5"/>
  <c r="J392" i="5"/>
  <c r="J391" i="5"/>
  <c r="N389" i="5"/>
  <c r="N388" i="5"/>
  <c r="N387" i="5"/>
  <c r="N386" i="5"/>
  <c r="N385" i="5"/>
  <c r="L385" i="5"/>
  <c r="N384" i="5"/>
  <c r="L384" i="5"/>
  <c r="O384" i="5" s="1"/>
  <c r="N383" i="5"/>
  <c r="L383" i="5"/>
  <c r="N382" i="5"/>
  <c r="L382" i="5"/>
  <c r="O382" i="5" s="1"/>
  <c r="J381" i="5"/>
  <c r="I381" i="5"/>
  <c r="N380" i="5"/>
  <c r="L380" i="5"/>
  <c r="J380" i="5"/>
  <c r="I380" i="5"/>
  <c r="J379" i="5"/>
  <c r="J378" i="5"/>
  <c r="J377" i="5"/>
  <c r="I377" i="5"/>
  <c r="K377" i="5" s="1"/>
  <c r="J376" i="5"/>
  <c r="I376" i="5"/>
  <c r="K376" i="5" s="1"/>
  <c r="J375" i="5"/>
  <c r="I375" i="5"/>
  <c r="K375" i="5" s="1"/>
  <c r="J374" i="5"/>
  <c r="I374" i="5"/>
  <c r="J373" i="5"/>
  <c r="I373" i="5"/>
  <c r="K373" i="5" s="1"/>
  <c r="J372" i="5"/>
  <c r="I372" i="5"/>
  <c r="K372" i="5" s="1"/>
  <c r="J371" i="5"/>
  <c r="I371" i="5"/>
  <c r="K371" i="5" s="1"/>
  <c r="J370" i="5"/>
  <c r="I370" i="5"/>
  <c r="K370" i="5" s="1"/>
  <c r="J369" i="5"/>
  <c r="I369" i="5"/>
  <c r="J368" i="5"/>
  <c r="I368" i="5"/>
  <c r="K368" i="5" s="1"/>
  <c r="J367" i="5"/>
  <c r="J366" i="5"/>
  <c r="J365" i="5"/>
  <c r="I365" i="5"/>
  <c r="K365" i="5" s="1"/>
  <c r="J364" i="5"/>
  <c r="J363" i="5"/>
  <c r="J362" i="5"/>
  <c r="J361" i="5"/>
  <c r="J360" i="5"/>
  <c r="N358" i="5"/>
  <c r="N357" i="5"/>
  <c r="N356" i="5"/>
  <c r="N355" i="5"/>
  <c r="N354" i="5"/>
  <c r="L354" i="5"/>
  <c r="O354" i="5" s="1"/>
  <c r="N353" i="5"/>
  <c r="L353" i="5"/>
  <c r="N352" i="5"/>
  <c r="L352" i="5"/>
  <c r="O352" i="5" s="1"/>
  <c r="N351" i="5"/>
  <c r="L351" i="5"/>
  <c r="O351" i="5" s="1"/>
  <c r="J350" i="5"/>
  <c r="I350" i="5"/>
  <c r="K350" i="5" s="1"/>
  <c r="N349" i="5"/>
  <c r="L349" i="5"/>
  <c r="O349" i="5" s="1"/>
  <c r="J349" i="5"/>
  <c r="I349" i="5"/>
  <c r="K349" i="5" s="1"/>
  <c r="N347" i="5"/>
  <c r="L347" i="5"/>
  <c r="J346" i="5"/>
  <c r="I346" i="5"/>
  <c r="K346" i="5" s="1"/>
  <c r="J345" i="5"/>
  <c r="I345" i="5"/>
  <c r="J344" i="5"/>
  <c r="I344" i="5"/>
  <c r="K344" i="5" s="1"/>
  <c r="J343" i="5"/>
  <c r="I343" i="5"/>
  <c r="J342" i="5"/>
  <c r="I342" i="5"/>
  <c r="K342" i="5" s="1"/>
  <c r="J341" i="5"/>
  <c r="I341" i="5"/>
  <c r="J340" i="5"/>
  <c r="I340" i="5"/>
  <c r="J339" i="5"/>
  <c r="I339" i="5"/>
  <c r="K339" i="5" s="1"/>
  <c r="N337" i="5"/>
  <c r="L337" i="5"/>
  <c r="L335" i="5"/>
  <c r="L334" i="5"/>
  <c r="N333" i="5"/>
  <c r="M333" i="5"/>
  <c r="O332" i="5"/>
  <c r="N330" i="5"/>
  <c r="M330" i="5"/>
  <c r="L330" i="5"/>
  <c r="J328" i="5"/>
  <c r="I328" i="5"/>
  <c r="J326" i="5"/>
  <c r="J325" i="5"/>
  <c r="J324" i="5"/>
  <c r="I324" i="5"/>
  <c r="K324" i="5" s="1"/>
  <c r="J323" i="5"/>
  <c r="J322" i="5"/>
  <c r="J321" i="5"/>
  <c r="J320" i="5"/>
  <c r="N318" i="5"/>
  <c r="L318" i="5"/>
  <c r="O318" i="5" s="1"/>
  <c r="L316" i="5"/>
  <c r="L315" i="5"/>
  <c r="N314" i="5"/>
  <c r="M314" i="5"/>
  <c r="O313" i="5"/>
  <c r="P311" i="5"/>
  <c r="N311" i="5"/>
  <c r="M311" i="5"/>
  <c r="L311" i="5"/>
  <c r="J309" i="5"/>
  <c r="I309" i="5"/>
  <c r="K309" i="5" s="1"/>
  <c r="J308" i="5"/>
  <c r="J307" i="5"/>
  <c r="J306" i="5"/>
  <c r="I306" i="5"/>
  <c r="K306" i="5" s="1"/>
  <c r="J304" i="5"/>
  <c r="I304" i="5"/>
  <c r="K304" i="5" s="1"/>
  <c r="J303" i="5"/>
  <c r="J302" i="5"/>
  <c r="J301" i="5"/>
  <c r="J300" i="5"/>
  <c r="N298" i="5"/>
  <c r="L298" i="5"/>
  <c r="O298" i="5" s="1"/>
  <c r="L296" i="5"/>
  <c r="L295" i="5"/>
  <c r="N294" i="5"/>
  <c r="M294" i="5"/>
  <c r="M292" i="5" s="1"/>
  <c r="P292" i="5" s="1"/>
  <c r="O293" i="5"/>
  <c r="N291" i="5"/>
  <c r="M291" i="5"/>
  <c r="L291" i="5"/>
  <c r="J289" i="5"/>
  <c r="I289" i="5"/>
  <c r="K289" i="5" s="1"/>
  <c r="J287" i="5"/>
  <c r="J286" i="5"/>
  <c r="J285" i="5"/>
  <c r="I285" i="5"/>
  <c r="K285" i="5" s="1"/>
  <c r="J284" i="5"/>
  <c r="J283" i="5"/>
  <c r="J282" i="5"/>
  <c r="J281" i="5"/>
  <c r="N279" i="5"/>
  <c r="L279" i="5"/>
  <c r="O279" i="5" s="1"/>
  <c r="L277" i="5"/>
  <c r="L276" i="5"/>
  <c r="N275" i="5"/>
  <c r="M275" i="5"/>
  <c r="M273" i="5" s="1"/>
  <c r="P273" i="5" s="1"/>
  <c r="O274" i="5"/>
  <c r="O272" i="5"/>
  <c r="N272" i="5"/>
  <c r="M272" i="5"/>
  <c r="P272" i="5" s="1"/>
  <c r="L272" i="5"/>
  <c r="J270" i="5"/>
  <c r="I270" i="5"/>
  <c r="K270" i="5" s="1"/>
  <c r="J269" i="5"/>
  <c r="J268" i="5"/>
  <c r="J267" i="5"/>
  <c r="I267" i="5"/>
  <c r="K267" i="5" s="1"/>
  <c r="J266" i="5"/>
  <c r="I266" i="5"/>
  <c r="K266" i="5" s="1"/>
  <c r="J265" i="5"/>
  <c r="I265" i="5"/>
  <c r="K265" i="5" s="1"/>
  <c r="J264" i="5"/>
  <c r="I264" i="5"/>
  <c r="K264" i="5" s="1"/>
  <c r="J263" i="5"/>
  <c r="J262" i="5"/>
  <c r="J261" i="5"/>
  <c r="J260" i="5"/>
  <c r="N258" i="5"/>
  <c r="L258" i="5"/>
  <c r="O258" i="5" s="1"/>
  <c r="L256" i="5"/>
  <c r="L255" i="5"/>
  <c r="N254" i="5"/>
  <c r="M254" i="5"/>
  <c r="P254" i="5" s="1"/>
  <c r="O253" i="5"/>
  <c r="P251" i="5"/>
  <c r="N251" i="5"/>
  <c r="M251" i="5"/>
  <c r="L251" i="5"/>
  <c r="O251" i="5" s="1"/>
  <c r="J249" i="5"/>
  <c r="I249" i="5"/>
  <c r="K249" i="5" s="1"/>
  <c r="J246" i="5"/>
  <c r="J245" i="5"/>
  <c r="J244" i="5"/>
  <c r="I244" i="5"/>
  <c r="J243" i="5"/>
  <c r="J242" i="5"/>
  <c r="J241" i="5"/>
  <c r="J240" i="5"/>
  <c r="J238" i="5"/>
  <c r="I238" i="5"/>
  <c r="K238" i="5" s="1"/>
  <c r="J237" i="5"/>
  <c r="J236" i="5"/>
  <c r="J235" i="5"/>
  <c r="I235" i="5"/>
  <c r="J234" i="5"/>
  <c r="J233" i="5"/>
  <c r="J232" i="5"/>
  <c r="J231" i="5"/>
  <c r="J229" i="5"/>
  <c r="I229" i="5"/>
  <c r="N228" i="5"/>
  <c r="L228" i="5"/>
  <c r="O228" i="5" s="1"/>
  <c r="L226" i="5"/>
  <c r="L225" i="5"/>
  <c r="N224" i="5"/>
  <c r="M224" i="5"/>
  <c r="M222" i="5" s="1"/>
  <c r="O223" i="5"/>
  <c r="O221" i="5"/>
  <c r="N221" i="5"/>
  <c r="M221" i="5"/>
  <c r="L221" i="5"/>
  <c r="J219" i="5"/>
  <c r="I219" i="5"/>
  <c r="J218" i="5"/>
  <c r="J217" i="5"/>
  <c r="J216" i="5"/>
  <c r="I216" i="5"/>
  <c r="J215" i="5"/>
  <c r="I215" i="5"/>
  <c r="K215" i="5" s="1"/>
  <c r="J213" i="5"/>
  <c r="I213" i="5"/>
  <c r="J212" i="5"/>
  <c r="J211" i="5"/>
  <c r="J210" i="5"/>
  <c r="J209" i="5"/>
  <c r="J204" i="5"/>
  <c r="I204" i="5"/>
  <c r="J203" i="5"/>
  <c r="J202" i="5"/>
  <c r="J201" i="5"/>
  <c r="I201" i="5"/>
  <c r="K201" i="5" s="1"/>
  <c r="J200" i="5"/>
  <c r="I200" i="5"/>
  <c r="J199" i="5"/>
  <c r="I199" i="5"/>
  <c r="J197" i="5"/>
  <c r="J196" i="5"/>
  <c r="J195" i="5"/>
  <c r="J194" i="5"/>
  <c r="J189" i="5"/>
  <c r="I189" i="5"/>
  <c r="J188" i="5"/>
  <c r="J187" i="5"/>
  <c r="J186" i="5"/>
  <c r="I186" i="5"/>
  <c r="J185" i="5"/>
  <c r="I185" i="5"/>
  <c r="J184" i="5"/>
  <c r="J183" i="5"/>
  <c r="J182" i="5"/>
  <c r="J181" i="5"/>
  <c r="J176" i="5"/>
  <c r="I176" i="5"/>
  <c r="J175" i="5"/>
  <c r="J174" i="5"/>
  <c r="J173" i="5"/>
  <c r="I173" i="5"/>
  <c r="J172" i="5"/>
  <c r="J171" i="5"/>
  <c r="J170" i="5"/>
  <c r="J169" i="5"/>
  <c r="J164" i="5"/>
  <c r="I164" i="5"/>
  <c r="J163" i="5"/>
  <c r="J162" i="5"/>
  <c r="J161" i="5"/>
  <c r="J160" i="5"/>
  <c r="J159" i="5"/>
  <c r="J158" i="5"/>
  <c r="I158" i="5"/>
  <c r="J157" i="5"/>
  <c r="J156" i="5"/>
  <c r="J155" i="5"/>
  <c r="J154" i="5"/>
  <c r="J149" i="5"/>
  <c r="I149" i="5"/>
  <c r="N148" i="5"/>
  <c r="L148" i="5"/>
  <c r="O148" i="5" s="1"/>
  <c r="L146" i="5"/>
  <c r="L145" i="5"/>
  <c r="N144" i="5"/>
  <c r="M144" i="5"/>
  <c r="M142" i="5" s="1"/>
  <c r="O143" i="5"/>
  <c r="N141" i="5"/>
  <c r="M141" i="5"/>
  <c r="L141" i="5"/>
  <c r="O141" i="5" s="1"/>
  <c r="J138" i="5"/>
  <c r="I138" i="5"/>
  <c r="J135" i="5"/>
  <c r="J134" i="5"/>
  <c r="J133" i="5"/>
  <c r="I133" i="5"/>
  <c r="K133" i="5" s="1"/>
  <c r="J132" i="5"/>
  <c r="I132" i="5"/>
  <c r="K132" i="5" s="1"/>
  <c r="J131" i="5"/>
  <c r="J130" i="5"/>
  <c r="J129" i="5"/>
  <c r="J128" i="5"/>
  <c r="N126" i="5"/>
  <c r="L126" i="5"/>
  <c r="O126" i="5" s="1"/>
  <c r="L124" i="5"/>
  <c r="L123" i="5"/>
  <c r="N122" i="5"/>
  <c r="M122" i="5"/>
  <c r="M120" i="5" s="1"/>
  <c r="P120" i="5" s="1"/>
  <c r="O121" i="5"/>
  <c r="O119" i="5"/>
  <c r="N119" i="5"/>
  <c r="M119" i="5"/>
  <c r="L119" i="5"/>
  <c r="J117" i="5"/>
  <c r="I117" i="5"/>
  <c r="K117" i="5" s="1"/>
  <c r="J115" i="5"/>
  <c r="J114" i="5"/>
  <c r="J113" i="5"/>
  <c r="I113" i="5"/>
  <c r="J112" i="5"/>
  <c r="I112" i="5"/>
  <c r="J111" i="5"/>
  <c r="I111" i="5"/>
  <c r="J110" i="5"/>
  <c r="I110" i="5"/>
  <c r="J109" i="5"/>
  <c r="I109" i="5"/>
  <c r="J108" i="5"/>
  <c r="I108" i="5"/>
  <c r="J107" i="5"/>
  <c r="J106" i="5"/>
  <c r="J105" i="5"/>
  <c r="J104" i="5"/>
  <c r="N102" i="5"/>
  <c r="L102" i="5"/>
  <c r="L100" i="5"/>
  <c r="L99" i="5"/>
  <c r="N98" i="5"/>
  <c r="M98" i="5"/>
  <c r="O97" i="5"/>
  <c r="N95" i="5"/>
  <c r="M95" i="5"/>
  <c r="L95" i="5"/>
  <c r="J93" i="5"/>
  <c r="I93" i="5"/>
  <c r="J92" i="5"/>
  <c r="I92" i="5"/>
  <c r="J90" i="5"/>
  <c r="J89" i="5"/>
  <c r="J88" i="5"/>
  <c r="I88" i="5"/>
  <c r="K88" i="5" s="1"/>
  <c r="J87" i="5"/>
  <c r="I87" i="5"/>
  <c r="K87" i="5" s="1"/>
  <c r="J86" i="5"/>
  <c r="I86" i="5"/>
  <c r="K86" i="5" s="1"/>
  <c r="J85" i="5"/>
  <c r="I85" i="5"/>
  <c r="K85" i="5" s="1"/>
  <c r="J84" i="5"/>
  <c r="I84" i="5"/>
  <c r="K84" i="5" s="1"/>
  <c r="J83" i="5"/>
  <c r="I83" i="5"/>
  <c r="K83" i="5" s="1"/>
  <c r="J82" i="5"/>
  <c r="I82" i="5"/>
  <c r="K82" i="5" s="1"/>
  <c r="J81" i="5"/>
  <c r="I81" i="5"/>
  <c r="K81" i="5" s="1"/>
  <c r="J80" i="5"/>
  <c r="I80" i="5"/>
  <c r="K80" i="5" s="1"/>
  <c r="J79" i="5"/>
  <c r="J78" i="5"/>
  <c r="J77" i="5"/>
  <c r="J76" i="5"/>
  <c r="N74" i="5"/>
  <c r="L74" i="5"/>
  <c r="O74" i="5" s="1"/>
  <c r="L72" i="5"/>
  <c r="L71" i="5"/>
  <c r="N70" i="5"/>
  <c r="M70" i="5"/>
  <c r="M68" i="5" s="1"/>
  <c r="P68" i="5" s="1"/>
  <c r="O69" i="5"/>
  <c r="N67" i="5"/>
  <c r="M67" i="5"/>
  <c r="L67" i="5"/>
  <c r="O67" i="5" s="1"/>
  <c r="J65" i="5"/>
  <c r="I65" i="5"/>
  <c r="K65" i="5" s="1"/>
  <c r="J64" i="5"/>
  <c r="I64" i="5"/>
  <c r="K64" i="5" s="1"/>
  <c r="N61" i="5"/>
  <c r="L61" i="5"/>
  <c r="O61" i="5" s="1"/>
  <c r="L59" i="5"/>
  <c r="L58" i="5"/>
  <c r="N57" i="5"/>
  <c r="M57" i="5"/>
  <c r="M55" i="5" s="1"/>
  <c r="N54" i="5"/>
  <c r="M54" i="5"/>
  <c r="L54" i="5"/>
  <c r="N49" i="5"/>
  <c r="L49" i="5"/>
  <c r="O49" i="5" s="1"/>
  <c r="L47" i="5"/>
  <c r="L46" i="5"/>
  <c r="N45" i="5"/>
  <c r="M45" i="5"/>
  <c r="N42" i="5"/>
  <c r="M42" i="5"/>
  <c r="L42" i="5"/>
  <c r="O42" i="5" s="1"/>
  <c r="P36" i="5"/>
  <c r="O36" i="5"/>
  <c r="P35" i="5"/>
  <c r="O35" i="5"/>
  <c r="M34" i="5"/>
  <c r="P34" i="5" s="1"/>
  <c r="M33" i="5"/>
  <c r="P33" i="5" s="1"/>
  <c r="P32" i="5"/>
  <c r="M32" i="5"/>
  <c r="P31" i="5"/>
  <c r="M31" i="5"/>
  <c r="M30" i="5"/>
  <c r="P30" i="5" s="1"/>
  <c r="M29" i="5"/>
  <c r="P25" i="5"/>
  <c r="N25" i="5"/>
  <c r="N15" i="5" s="1"/>
  <c r="M25" i="5"/>
  <c r="L25" i="5"/>
  <c r="O25" i="5" s="1"/>
  <c r="N24" i="5"/>
  <c r="M24" i="5"/>
  <c r="P24" i="5" s="1"/>
  <c r="P23" i="5"/>
  <c r="N23" i="5"/>
  <c r="M23" i="5"/>
  <c r="N21" i="5"/>
  <c r="M21" i="5"/>
  <c r="P21" i="5" s="1"/>
  <c r="L21" i="5"/>
  <c r="O21" i="5" s="1"/>
  <c r="O19" i="5"/>
  <c r="L19" i="5"/>
  <c r="O15" i="5"/>
  <c r="M15" i="5"/>
  <c r="P15" i="5" s="1"/>
  <c r="L15" i="5"/>
  <c r="M13" i="5"/>
  <c r="P13" i="5" s="1"/>
  <c r="J635" i="4"/>
  <c r="I635" i="4"/>
  <c r="J634" i="4"/>
  <c r="I634" i="4"/>
  <c r="J633" i="4"/>
  <c r="I633" i="4"/>
  <c r="K633" i="4" s="1"/>
  <c r="J632" i="4"/>
  <c r="I632" i="4"/>
  <c r="K632" i="4" s="1"/>
  <c r="J631" i="4"/>
  <c r="I631" i="4"/>
  <c r="J630" i="4"/>
  <c r="I630" i="4"/>
  <c r="J629" i="4"/>
  <c r="I629" i="4"/>
  <c r="J628" i="4"/>
  <c r="I628" i="4"/>
  <c r="J626" i="4"/>
  <c r="I626" i="4"/>
  <c r="J625" i="4"/>
  <c r="I625" i="4"/>
  <c r="J624" i="4"/>
  <c r="I624" i="4"/>
  <c r="J623" i="4"/>
  <c r="I623" i="4"/>
  <c r="J622" i="4"/>
  <c r="I622" i="4"/>
  <c r="J621" i="4"/>
  <c r="I621" i="4"/>
  <c r="J620" i="4"/>
  <c r="I620" i="4"/>
  <c r="K626" i="4" s="1"/>
  <c r="J619" i="4"/>
  <c r="I619" i="4"/>
  <c r="J618" i="4"/>
  <c r="I618" i="4"/>
  <c r="J617" i="4"/>
  <c r="I617" i="4"/>
  <c r="J616" i="4"/>
  <c r="I616" i="4"/>
  <c r="J615" i="4"/>
  <c r="I615" i="4"/>
  <c r="J614" i="4"/>
  <c r="I614" i="4"/>
  <c r="J613" i="4"/>
  <c r="I613" i="4"/>
  <c r="J612" i="4"/>
  <c r="I612" i="4"/>
  <c r="J611" i="4"/>
  <c r="I611" i="4"/>
  <c r="J610" i="4"/>
  <c r="J609" i="4"/>
  <c r="J608" i="4"/>
  <c r="J607" i="4"/>
  <c r="N605" i="4"/>
  <c r="N604" i="4"/>
  <c r="N603" i="4"/>
  <c r="N602" i="4"/>
  <c r="N601" i="4"/>
  <c r="L601" i="4"/>
  <c r="N600" i="4"/>
  <c r="L600" i="4"/>
  <c r="O600" i="4" s="1"/>
  <c r="N599" i="4"/>
  <c r="L599" i="4"/>
  <c r="N598" i="4"/>
  <c r="L598" i="4"/>
  <c r="N597" i="4"/>
  <c r="L597" i="4"/>
  <c r="J597" i="4"/>
  <c r="I597" i="4"/>
  <c r="J596" i="4"/>
  <c r="I596" i="4"/>
  <c r="K596" i="4" s="1"/>
  <c r="J595" i="4"/>
  <c r="I595" i="4"/>
  <c r="K595" i="4" s="1"/>
  <c r="J594" i="4"/>
  <c r="I594" i="4"/>
  <c r="K594" i="4" s="1"/>
  <c r="J593" i="4"/>
  <c r="I593" i="4"/>
  <c r="K593" i="4" s="1"/>
  <c r="J592" i="4"/>
  <c r="I592" i="4"/>
  <c r="K592" i="4" s="1"/>
  <c r="J591" i="4"/>
  <c r="I591" i="4"/>
  <c r="K591" i="4" s="1"/>
  <c r="J590" i="4"/>
  <c r="I590" i="4"/>
  <c r="K590" i="4" s="1"/>
  <c r="J589" i="4"/>
  <c r="I589" i="4"/>
  <c r="K589" i="4" s="1"/>
  <c r="N588" i="4"/>
  <c r="N587" i="4"/>
  <c r="N586" i="4"/>
  <c r="N585" i="4"/>
  <c r="N584" i="4"/>
  <c r="L584" i="4"/>
  <c r="O584" i="4" s="1"/>
  <c r="N583" i="4"/>
  <c r="L583" i="4"/>
  <c r="O583" i="4" s="1"/>
  <c r="N582" i="4"/>
  <c r="L582" i="4"/>
  <c r="O582" i="4" s="1"/>
  <c r="N581" i="4"/>
  <c r="L581" i="4"/>
  <c r="O581" i="4" s="1"/>
  <c r="N580" i="4"/>
  <c r="L580" i="4"/>
  <c r="O580" i="4" s="1"/>
  <c r="J580" i="4"/>
  <c r="I580" i="4"/>
  <c r="K580" i="4" s="1"/>
  <c r="J579" i="4"/>
  <c r="I579" i="4"/>
  <c r="K579" i="4" s="1"/>
  <c r="J578" i="4"/>
  <c r="I578" i="4"/>
  <c r="K578" i="4" s="1"/>
  <c r="J577" i="4"/>
  <c r="I577" i="4"/>
  <c r="K577" i="4" s="1"/>
  <c r="J576" i="4"/>
  <c r="I576" i="4"/>
  <c r="K576" i="4" s="1"/>
  <c r="J575" i="4"/>
  <c r="I575" i="4"/>
  <c r="K575" i="4" s="1"/>
  <c r="J573" i="4"/>
  <c r="I573" i="4"/>
  <c r="N572" i="4"/>
  <c r="N571" i="4"/>
  <c r="N570" i="4"/>
  <c r="N569" i="4"/>
  <c r="N568" i="4"/>
  <c r="L568" i="4"/>
  <c r="N567" i="4"/>
  <c r="L567" i="4"/>
  <c r="O567" i="4" s="1"/>
  <c r="N566" i="4"/>
  <c r="L566" i="4"/>
  <c r="N565" i="4"/>
  <c r="L565" i="4"/>
  <c r="O565" i="4" s="1"/>
  <c r="N564" i="4"/>
  <c r="L564" i="4"/>
  <c r="J564" i="4"/>
  <c r="I564" i="4"/>
  <c r="J561" i="4"/>
  <c r="I561" i="4"/>
  <c r="K561" i="4" s="1"/>
  <c r="J560" i="4"/>
  <c r="I560" i="4"/>
  <c r="K560" i="4" s="1"/>
  <c r="N559" i="4"/>
  <c r="N558" i="4"/>
  <c r="N557" i="4"/>
  <c r="N556" i="4"/>
  <c r="N555" i="4"/>
  <c r="L555" i="4"/>
  <c r="O555" i="4" s="1"/>
  <c r="N554" i="4"/>
  <c r="L554" i="4"/>
  <c r="O554" i="4" s="1"/>
  <c r="N553" i="4"/>
  <c r="L553" i="4"/>
  <c r="O553" i="4" s="1"/>
  <c r="N552" i="4"/>
  <c r="L552" i="4"/>
  <c r="O552" i="4" s="1"/>
  <c r="N551" i="4"/>
  <c r="L551" i="4"/>
  <c r="O551" i="4" s="1"/>
  <c r="J551" i="4"/>
  <c r="I551" i="4"/>
  <c r="K551" i="4" s="1"/>
  <c r="J550" i="4"/>
  <c r="J549" i="4"/>
  <c r="J548" i="4"/>
  <c r="I548" i="4"/>
  <c r="K548" i="4" s="1"/>
  <c r="J547" i="4"/>
  <c r="I547" i="4"/>
  <c r="J546" i="4"/>
  <c r="J545" i="4"/>
  <c r="J544" i="4"/>
  <c r="J543" i="4"/>
  <c r="N541" i="4"/>
  <c r="N540" i="4"/>
  <c r="N539" i="4"/>
  <c r="N538" i="4"/>
  <c r="N537" i="4"/>
  <c r="L537" i="4"/>
  <c r="N536" i="4"/>
  <c r="L536" i="4"/>
  <c r="O536" i="4" s="1"/>
  <c r="N535" i="4"/>
  <c r="L535" i="4"/>
  <c r="N534" i="4"/>
  <c r="L534" i="4"/>
  <c r="O534" i="4" s="1"/>
  <c r="N533" i="4"/>
  <c r="L533" i="4"/>
  <c r="J533" i="4"/>
  <c r="I533" i="4"/>
  <c r="J532" i="4"/>
  <c r="I532" i="4"/>
  <c r="J531" i="4"/>
  <c r="I531" i="4"/>
  <c r="J530" i="4"/>
  <c r="I530" i="4"/>
  <c r="J529" i="4"/>
  <c r="I529" i="4"/>
  <c r="J528" i="4"/>
  <c r="I528" i="4"/>
  <c r="J527" i="4"/>
  <c r="I527" i="4"/>
  <c r="J526" i="4"/>
  <c r="I526" i="4"/>
  <c r="J525" i="4"/>
  <c r="I525" i="4"/>
  <c r="J524" i="4"/>
  <c r="I524" i="4"/>
  <c r="J523" i="4"/>
  <c r="I523" i="4"/>
  <c r="J522" i="4"/>
  <c r="I522" i="4"/>
  <c r="J521" i="4"/>
  <c r="I521" i="4"/>
  <c r="J520" i="4"/>
  <c r="I520" i="4"/>
  <c r="J519" i="4"/>
  <c r="I519" i="4"/>
  <c r="J518" i="4"/>
  <c r="I518" i="4"/>
  <c r="J517" i="4"/>
  <c r="I517" i="4"/>
  <c r="J516" i="4"/>
  <c r="I516" i="4"/>
  <c r="J515" i="4"/>
  <c r="I515" i="4"/>
  <c r="K515" i="4" s="1"/>
  <c r="J514" i="4"/>
  <c r="I514" i="4"/>
  <c r="K514" i="4" s="1"/>
  <c r="J513" i="4"/>
  <c r="I513" i="4"/>
  <c r="K513" i="4" s="1"/>
  <c r="J512" i="4"/>
  <c r="I512" i="4"/>
  <c r="K512" i="4" s="1"/>
  <c r="J511" i="4"/>
  <c r="I511" i="4"/>
  <c r="K511" i="4" s="1"/>
  <c r="J510" i="4"/>
  <c r="I510" i="4"/>
  <c r="K510" i="4" s="1"/>
  <c r="J509" i="4"/>
  <c r="I509" i="4"/>
  <c r="K509" i="4" s="1"/>
  <c r="J508" i="4"/>
  <c r="I508" i="4"/>
  <c r="K508" i="4" s="1"/>
  <c r="J507" i="4"/>
  <c r="I507" i="4"/>
  <c r="K507" i="4" s="1"/>
  <c r="J506" i="4"/>
  <c r="I506" i="4"/>
  <c r="K506" i="4" s="1"/>
  <c r="J505" i="4"/>
  <c r="I505" i="4"/>
  <c r="K505" i="4" s="1"/>
  <c r="J504" i="4"/>
  <c r="I504" i="4"/>
  <c r="J503" i="4"/>
  <c r="I503" i="4"/>
  <c r="K503" i="4" s="1"/>
  <c r="J502" i="4"/>
  <c r="I502" i="4"/>
  <c r="K502" i="4" s="1"/>
  <c r="J501" i="4"/>
  <c r="I501" i="4"/>
  <c r="K501" i="4" s="1"/>
  <c r="J500" i="4"/>
  <c r="I500" i="4"/>
  <c r="K500" i="4" s="1"/>
  <c r="J499" i="4"/>
  <c r="I499" i="4"/>
  <c r="J498" i="4"/>
  <c r="I498" i="4"/>
  <c r="J497" i="4"/>
  <c r="I497" i="4"/>
  <c r="J496" i="4"/>
  <c r="I496" i="4"/>
  <c r="K496" i="4" s="1"/>
  <c r="J495" i="4"/>
  <c r="I495" i="4"/>
  <c r="K495" i="4" s="1"/>
  <c r="J494" i="4"/>
  <c r="I494" i="4"/>
  <c r="K494" i="4" s="1"/>
  <c r="J493" i="4"/>
  <c r="I493" i="4"/>
  <c r="K493" i="4" s="1"/>
  <c r="J492" i="4"/>
  <c r="I492" i="4"/>
  <c r="K492" i="4" s="1"/>
  <c r="J491" i="4"/>
  <c r="I491" i="4"/>
  <c r="K491" i="4" s="1"/>
  <c r="J490" i="4"/>
  <c r="I490" i="4"/>
  <c r="K490" i="4" s="1"/>
  <c r="J489" i="4"/>
  <c r="I489" i="4"/>
  <c r="K489" i="4" s="1"/>
  <c r="J488" i="4"/>
  <c r="I488" i="4"/>
  <c r="K488" i="4" s="1"/>
  <c r="J487" i="4"/>
  <c r="I487" i="4"/>
  <c r="K487" i="4" s="1"/>
  <c r="J486" i="4"/>
  <c r="I486" i="4"/>
  <c r="K486" i="4" s="1"/>
  <c r="J485" i="4"/>
  <c r="I485" i="4"/>
  <c r="K485" i="4" s="1"/>
  <c r="J484" i="4"/>
  <c r="I484" i="4"/>
  <c r="K484" i="4" s="1"/>
  <c r="J483" i="4"/>
  <c r="I483" i="4"/>
  <c r="K483" i="4" s="1"/>
  <c r="J482" i="4"/>
  <c r="I482" i="4"/>
  <c r="J481" i="4"/>
  <c r="I481" i="4"/>
  <c r="J480" i="4"/>
  <c r="I480" i="4"/>
  <c r="K480" i="4" s="1"/>
  <c r="J479" i="4"/>
  <c r="I479" i="4"/>
  <c r="K479" i="4" s="1"/>
  <c r="J478" i="4"/>
  <c r="I478" i="4"/>
  <c r="K478" i="4" s="1"/>
  <c r="J477" i="4"/>
  <c r="I477" i="4"/>
  <c r="K477" i="4" s="1"/>
  <c r="J476" i="4"/>
  <c r="I476" i="4"/>
  <c r="K476" i="4" s="1"/>
  <c r="J475" i="4"/>
  <c r="I475" i="4"/>
  <c r="K475" i="4" s="1"/>
  <c r="J474" i="4"/>
  <c r="I474" i="4"/>
  <c r="J473" i="4"/>
  <c r="I473" i="4"/>
  <c r="J472" i="4"/>
  <c r="I472" i="4"/>
  <c r="K472" i="4" s="1"/>
  <c r="J471" i="4"/>
  <c r="I471" i="4"/>
  <c r="K471" i="4" s="1"/>
  <c r="J470" i="4"/>
  <c r="I470" i="4"/>
  <c r="K470" i="4" s="1"/>
  <c r="J469" i="4"/>
  <c r="I469" i="4"/>
  <c r="K469" i="4" s="1"/>
  <c r="J468" i="4"/>
  <c r="I468" i="4"/>
  <c r="K468" i="4" s="1"/>
  <c r="J467" i="4"/>
  <c r="I467" i="4"/>
  <c r="K467" i="4" s="1"/>
  <c r="J466" i="4"/>
  <c r="I466" i="4"/>
  <c r="J465" i="4"/>
  <c r="I465" i="4"/>
  <c r="J464" i="4"/>
  <c r="I464" i="4"/>
  <c r="N463" i="4"/>
  <c r="N462" i="4"/>
  <c r="N461" i="4"/>
  <c r="N460" i="4"/>
  <c r="N459" i="4"/>
  <c r="L459" i="4"/>
  <c r="N458" i="4"/>
  <c r="L458" i="4"/>
  <c r="O458" i="4" s="1"/>
  <c r="N457" i="4"/>
  <c r="L457" i="4"/>
  <c r="N456" i="4"/>
  <c r="L456" i="4"/>
  <c r="O456" i="4" s="1"/>
  <c r="N455" i="4"/>
  <c r="L455" i="4"/>
  <c r="J455" i="4"/>
  <c r="I455" i="4"/>
  <c r="J454" i="4"/>
  <c r="J453" i="4"/>
  <c r="J452" i="4"/>
  <c r="I452" i="4"/>
  <c r="K452" i="4" s="1"/>
  <c r="J451" i="4"/>
  <c r="I451" i="4"/>
  <c r="J450" i="4"/>
  <c r="I450" i="4"/>
  <c r="J449" i="4"/>
  <c r="I449" i="4"/>
  <c r="J448" i="4"/>
  <c r="J447" i="4"/>
  <c r="J446" i="4"/>
  <c r="J445" i="4"/>
  <c r="N443" i="4"/>
  <c r="N442" i="4"/>
  <c r="N441" i="4"/>
  <c r="N440" i="4"/>
  <c r="N439" i="4"/>
  <c r="L439" i="4"/>
  <c r="N438" i="4"/>
  <c r="L438" i="4"/>
  <c r="N437" i="4"/>
  <c r="L437" i="4"/>
  <c r="N436" i="4"/>
  <c r="L436" i="4"/>
  <c r="O436" i="4" s="1"/>
  <c r="N435" i="4"/>
  <c r="L435" i="4"/>
  <c r="J435" i="4"/>
  <c r="I435" i="4"/>
  <c r="J434" i="4"/>
  <c r="J433" i="4"/>
  <c r="J432" i="4"/>
  <c r="I432" i="4"/>
  <c r="J431" i="4"/>
  <c r="I431" i="4"/>
  <c r="J430" i="4"/>
  <c r="I430" i="4"/>
  <c r="J429" i="4"/>
  <c r="I429" i="4"/>
  <c r="J428" i="4"/>
  <c r="I428" i="4"/>
  <c r="J427" i="4"/>
  <c r="I427" i="4"/>
  <c r="J426" i="4"/>
  <c r="I426" i="4"/>
  <c r="J425" i="4"/>
  <c r="I425" i="4"/>
  <c r="J424" i="4"/>
  <c r="I424" i="4"/>
  <c r="J423" i="4"/>
  <c r="I423" i="4"/>
  <c r="J422" i="4"/>
  <c r="I422" i="4"/>
  <c r="J421" i="4"/>
  <c r="I421" i="4"/>
  <c r="J420" i="4"/>
  <c r="I420" i="4"/>
  <c r="J419" i="4"/>
  <c r="I419" i="4"/>
  <c r="J418" i="4"/>
  <c r="I418" i="4"/>
  <c r="J417" i="4"/>
  <c r="I417" i="4"/>
  <c r="J416" i="4"/>
  <c r="I416" i="4"/>
  <c r="J415" i="4"/>
  <c r="J414" i="4"/>
  <c r="J413" i="4"/>
  <c r="J412" i="4"/>
  <c r="N410" i="4"/>
  <c r="N409" i="4"/>
  <c r="N408" i="4"/>
  <c r="N407" i="4"/>
  <c r="N406" i="4"/>
  <c r="L406" i="4"/>
  <c r="N405" i="4"/>
  <c r="L405" i="4"/>
  <c r="N404" i="4"/>
  <c r="L404" i="4"/>
  <c r="N403" i="4"/>
  <c r="L403" i="4"/>
  <c r="O403" i="4" s="1"/>
  <c r="J402" i="4"/>
  <c r="I402" i="4"/>
  <c r="N401" i="4"/>
  <c r="L401" i="4"/>
  <c r="J401" i="4"/>
  <c r="I401" i="4"/>
  <c r="J400" i="4"/>
  <c r="J399" i="4"/>
  <c r="J398" i="4"/>
  <c r="I398" i="4"/>
  <c r="J397" i="4"/>
  <c r="I397" i="4"/>
  <c r="J396" i="4"/>
  <c r="I396" i="4"/>
  <c r="J394" i="4"/>
  <c r="J393" i="4"/>
  <c r="J392" i="4"/>
  <c r="J391" i="4"/>
  <c r="N389" i="4"/>
  <c r="N388" i="4"/>
  <c r="N387" i="4"/>
  <c r="N386" i="4"/>
  <c r="N385" i="4"/>
  <c r="L385" i="4"/>
  <c r="N384" i="4"/>
  <c r="L384" i="4"/>
  <c r="O384" i="4" s="1"/>
  <c r="N383" i="4"/>
  <c r="L383" i="4"/>
  <c r="N382" i="4"/>
  <c r="L382" i="4"/>
  <c r="O382" i="4" s="1"/>
  <c r="J381" i="4"/>
  <c r="I381" i="4"/>
  <c r="N380" i="4"/>
  <c r="L380" i="4"/>
  <c r="J380" i="4"/>
  <c r="I380" i="4"/>
  <c r="J379" i="4"/>
  <c r="J378" i="4"/>
  <c r="J377" i="4"/>
  <c r="I377" i="4"/>
  <c r="J376" i="4"/>
  <c r="I376" i="4"/>
  <c r="K376" i="4" s="1"/>
  <c r="J375" i="4"/>
  <c r="I375" i="4"/>
  <c r="J374" i="4"/>
  <c r="I374" i="4"/>
  <c r="J373" i="4"/>
  <c r="I373" i="4"/>
  <c r="K373" i="4" s="1"/>
  <c r="J372" i="4"/>
  <c r="I372" i="4"/>
  <c r="J371" i="4"/>
  <c r="I371" i="4"/>
  <c r="J370" i="4"/>
  <c r="I370" i="4"/>
  <c r="J369" i="4"/>
  <c r="I369" i="4"/>
  <c r="K369" i="4" s="1"/>
  <c r="J368" i="4"/>
  <c r="I368" i="4"/>
  <c r="J367" i="4"/>
  <c r="J366" i="4"/>
  <c r="J365" i="4"/>
  <c r="I365" i="4"/>
  <c r="K365" i="4" s="1"/>
  <c r="J364" i="4"/>
  <c r="J363" i="4"/>
  <c r="J362" i="4"/>
  <c r="J361" i="4"/>
  <c r="J360" i="4"/>
  <c r="N358" i="4"/>
  <c r="N357" i="4"/>
  <c r="N356" i="4"/>
  <c r="N355" i="4"/>
  <c r="N354" i="4"/>
  <c r="L354" i="4"/>
  <c r="N353" i="4"/>
  <c r="L353" i="4"/>
  <c r="O353" i="4" s="1"/>
  <c r="N352" i="4"/>
  <c r="L352" i="4"/>
  <c r="N351" i="4"/>
  <c r="L351" i="4"/>
  <c r="O351" i="4" s="1"/>
  <c r="J350" i="4"/>
  <c r="I350" i="4"/>
  <c r="N349" i="4"/>
  <c r="L349" i="4"/>
  <c r="J349" i="4"/>
  <c r="I349" i="4"/>
  <c r="N347" i="4"/>
  <c r="L347" i="4"/>
  <c r="J346" i="4"/>
  <c r="I346" i="4"/>
  <c r="K346" i="4" s="1"/>
  <c r="J345" i="4"/>
  <c r="I345" i="4"/>
  <c r="J344" i="4"/>
  <c r="I344" i="4"/>
  <c r="K344" i="4" s="1"/>
  <c r="J343" i="4"/>
  <c r="I343" i="4"/>
  <c r="J342" i="4"/>
  <c r="I342" i="4"/>
  <c r="K342" i="4" s="1"/>
  <c r="J341" i="4"/>
  <c r="I341" i="4"/>
  <c r="J340" i="4"/>
  <c r="I340" i="4"/>
  <c r="J339" i="4"/>
  <c r="I339" i="4"/>
  <c r="K339" i="4" s="1"/>
  <c r="N337" i="4"/>
  <c r="L337" i="4"/>
  <c r="L335" i="4"/>
  <c r="L334" i="4"/>
  <c r="N333" i="4"/>
  <c r="M333" i="4"/>
  <c r="O332" i="4"/>
  <c r="N330" i="4"/>
  <c r="M330" i="4"/>
  <c r="P330" i="4" s="1"/>
  <c r="L330" i="4"/>
  <c r="J328" i="4"/>
  <c r="I328" i="4"/>
  <c r="J326" i="4"/>
  <c r="J325" i="4"/>
  <c r="J324" i="4"/>
  <c r="I324" i="4"/>
  <c r="K324" i="4" s="1"/>
  <c r="J323" i="4"/>
  <c r="J322" i="4"/>
  <c r="J321" i="4"/>
  <c r="J320" i="4"/>
  <c r="N318" i="4"/>
  <c r="L318" i="4"/>
  <c r="O318" i="4" s="1"/>
  <c r="L316" i="4"/>
  <c r="L315" i="4"/>
  <c r="N314" i="4"/>
  <c r="M314" i="4"/>
  <c r="M312" i="4" s="1"/>
  <c r="O313" i="4"/>
  <c r="P311" i="4"/>
  <c r="N311" i="4"/>
  <c r="M311" i="4"/>
  <c r="L311" i="4"/>
  <c r="O311" i="4" s="1"/>
  <c r="J309" i="4"/>
  <c r="I309" i="4"/>
  <c r="K309" i="4" s="1"/>
  <c r="J308" i="4"/>
  <c r="J307" i="4"/>
  <c r="J306" i="4"/>
  <c r="I306" i="4"/>
  <c r="K306" i="4" s="1"/>
  <c r="J304" i="4"/>
  <c r="I304" i="4"/>
  <c r="K304" i="4" s="1"/>
  <c r="J303" i="4"/>
  <c r="J302" i="4"/>
  <c r="J301" i="4"/>
  <c r="J300" i="4"/>
  <c r="N298" i="4"/>
  <c r="L298" i="4"/>
  <c r="O298" i="4" s="1"/>
  <c r="L296" i="4"/>
  <c r="L295" i="4"/>
  <c r="N294" i="4"/>
  <c r="M294" i="4"/>
  <c r="M292" i="4" s="1"/>
  <c r="P292" i="4" s="1"/>
  <c r="O293" i="4"/>
  <c r="N291" i="4"/>
  <c r="M291" i="4"/>
  <c r="P291" i="4" s="1"/>
  <c r="L291" i="4"/>
  <c r="O291" i="4" s="1"/>
  <c r="J289" i="4"/>
  <c r="I289" i="4"/>
  <c r="K289" i="4" s="1"/>
  <c r="J287" i="4"/>
  <c r="J286" i="4"/>
  <c r="J285" i="4"/>
  <c r="I285" i="4"/>
  <c r="K285" i="4" s="1"/>
  <c r="J284" i="4"/>
  <c r="J283" i="4"/>
  <c r="J282" i="4"/>
  <c r="J281" i="4"/>
  <c r="N279" i="4"/>
  <c r="L279" i="4"/>
  <c r="O279" i="4" s="1"/>
  <c r="L277" i="4"/>
  <c r="L276" i="4"/>
  <c r="N275" i="4"/>
  <c r="M275" i="4"/>
  <c r="O274" i="4"/>
  <c r="P272" i="4"/>
  <c r="N272" i="4"/>
  <c r="M272" i="4"/>
  <c r="L272" i="4"/>
  <c r="O272" i="4" s="1"/>
  <c r="J270" i="4"/>
  <c r="I270" i="4"/>
  <c r="K270" i="4" s="1"/>
  <c r="J269" i="4"/>
  <c r="J268" i="4"/>
  <c r="J267" i="4"/>
  <c r="I267" i="4"/>
  <c r="J266" i="4"/>
  <c r="I266" i="4"/>
  <c r="J265" i="4"/>
  <c r="I265" i="4"/>
  <c r="J264" i="4"/>
  <c r="I264" i="4"/>
  <c r="J263" i="4"/>
  <c r="J262" i="4"/>
  <c r="J261" i="4"/>
  <c r="J260" i="4"/>
  <c r="N258" i="4"/>
  <c r="L258" i="4"/>
  <c r="O258" i="4" s="1"/>
  <c r="L256" i="4"/>
  <c r="L255" i="4"/>
  <c r="N254" i="4"/>
  <c r="M254" i="4"/>
  <c r="O253" i="4"/>
  <c r="P251" i="4"/>
  <c r="O251" i="4"/>
  <c r="N251" i="4"/>
  <c r="M251" i="4"/>
  <c r="L251" i="4"/>
  <c r="J249" i="4"/>
  <c r="I249" i="4"/>
  <c r="J246" i="4"/>
  <c r="J245" i="4"/>
  <c r="J244" i="4"/>
  <c r="I244" i="4"/>
  <c r="K244" i="4" s="1"/>
  <c r="J243" i="4"/>
  <c r="J242" i="4"/>
  <c r="J241" i="4"/>
  <c r="J240" i="4"/>
  <c r="J238" i="4"/>
  <c r="I238" i="4"/>
  <c r="K238" i="4" s="1"/>
  <c r="J237" i="4"/>
  <c r="J236" i="4"/>
  <c r="J235" i="4"/>
  <c r="I235" i="4"/>
  <c r="J234" i="4"/>
  <c r="J233" i="4"/>
  <c r="J232" i="4"/>
  <c r="J231" i="4"/>
  <c r="J229" i="4"/>
  <c r="I229" i="4"/>
  <c r="N228" i="4"/>
  <c r="L228" i="4"/>
  <c r="O228" i="4" s="1"/>
  <c r="L226" i="4"/>
  <c r="L225" i="4"/>
  <c r="N224" i="4"/>
  <c r="M224" i="4"/>
  <c r="O223" i="4"/>
  <c r="O221" i="4"/>
  <c r="N221" i="4"/>
  <c r="M221" i="4"/>
  <c r="L221" i="4"/>
  <c r="J219" i="4"/>
  <c r="I219" i="4"/>
  <c r="J218" i="4"/>
  <c r="J217" i="4"/>
  <c r="J216" i="4"/>
  <c r="I216" i="4"/>
  <c r="K216" i="4" s="1"/>
  <c r="J215" i="4"/>
  <c r="I215" i="4"/>
  <c r="K215" i="4" s="1"/>
  <c r="J213" i="4"/>
  <c r="I213" i="4"/>
  <c r="K213" i="4" s="1"/>
  <c r="J212" i="4"/>
  <c r="J211" i="4"/>
  <c r="J210" i="4"/>
  <c r="J209" i="4"/>
  <c r="J204" i="4"/>
  <c r="I204" i="4"/>
  <c r="K204" i="4" s="1"/>
  <c r="J203" i="4"/>
  <c r="J202" i="4"/>
  <c r="J201" i="4"/>
  <c r="I201" i="4"/>
  <c r="J200" i="4"/>
  <c r="I200" i="4"/>
  <c r="J199" i="4"/>
  <c r="I199" i="4"/>
  <c r="J197" i="4"/>
  <c r="J196" i="4"/>
  <c r="J195" i="4"/>
  <c r="J194" i="4"/>
  <c r="J189" i="4"/>
  <c r="I189" i="4"/>
  <c r="J188" i="4"/>
  <c r="J187" i="4"/>
  <c r="J186" i="4"/>
  <c r="I186" i="4"/>
  <c r="J185" i="4"/>
  <c r="I185" i="4"/>
  <c r="K185" i="4" s="1"/>
  <c r="J184" i="4"/>
  <c r="J183" i="4"/>
  <c r="J182" i="4"/>
  <c r="J181" i="4"/>
  <c r="J176" i="4"/>
  <c r="I176" i="4"/>
  <c r="K176" i="4" s="1"/>
  <c r="J175" i="4"/>
  <c r="J174" i="4"/>
  <c r="J173" i="4"/>
  <c r="I173" i="4"/>
  <c r="J172" i="4"/>
  <c r="J171" i="4"/>
  <c r="J170" i="4"/>
  <c r="J169" i="4"/>
  <c r="J164" i="4"/>
  <c r="I164" i="4"/>
  <c r="J163" i="4"/>
  <c r="J162" i="4"/>
  <c r="J161" i="4"/>
  <c r="J160" i="4"/>
  <c r="J159" i="4"/>
  <c r="J158" i="4"/>
  <c r="I158" i="4"/>
  <c r="J157" i="4"/>
  <c r="J156" i="4"/>
  <c r="J155" i="4"/>
  <c r="J154" i="4"/>
  <c r="J149" i="4"/>
  <c r="I149" i="4"/>
  <c r="N148" i="4"/>
  <c r="L148" i="4"/>
  <c r="O148" i="4" s="1"/>
  <c r="L146" i="4"/>
  <c r="L145" i="4"/>
  <c r="N144" i="4"/>
  <c r="M144" i="4"/>
  <c r="O143" i="4"/>
  <c r="P141" i="4"/>
  <c r="O141" i="4"/>
  <c r="N141" i="4"/>
  <c r="M141" i="4"/>
  <c r="L141" i="4"/>
  <c r="J138" i="4"/>
  <c r="I138" i="4"/>
  <c r="J135" i="4"/>
  <c r="J134" i="4"/>
  <c r="J133" i="4"/>
  <c r="I133" i="4"/>
  <c r="K133" i="4" s="1"/>
  <c r="J132" i="4"/>
  <c r="I132" i="4"/>
  <c r="K132" i="4" s="1"/>
  <c r="J131" i="4"/>
  <c r="J130" i="4"/>
  <c r="J129" i="4"/>
  <c r="J128" i="4"/>
  <c r="N126" i="4"/>
  <c r="L126" i="4"/>
  <c r="O126" i="4" s="1"/>
  <c r="L124" i="4"/>
  <c r="L123" i="4"/>
  <c r="N122" i="4"/>
  <c r="M122" i="4"/>
  <c r="P122" i="4" s="1"/>
  <c r="O121" i="4"/>
  <c r="P119" i="4"/>
  <c r="N119" i="4"/>
  <c r="M119" i="4"/>
  <c r="L119" i="4"/>
  <c r="O119" i="4" s="1"/>
  <c r="J117" i="4"/>
  <c r="I117" i="4"/>
  <c r="K117" i="4" s="1"/>
  <c r="J115" i="4"/>
  <c r="J114" i="4"/>
  <c r="J113" i="4"/>
  <c r="I113" i="4"/>
  <c r="J112" i="4"/>
  <c r="I112" i="4"/>
  <c r="J111" i="4"/>
  <c r="I111" i="4"/>
  <c r="J110" i="4"/>
  <c r="I110" i="4"/>
  <c r="J109" i="4"/>
  <c r="I109" i="4"/>
  <c r="J108" i="4"/>
  <c r="I108" i="4"/>
  <c r="J107" i="4"/>
  <c r="J106" i="4"/>
  <c r="J105" i="4"/>
  <c r="J104" i="4"/>
  <c r="N102" i="4"/>
  <c r="L102" i="4"/>
  <c r="M102" i="4" s="1"/>
  <c r="L100" i="4"/>
  <c r="L99" i="4"/>
  <c r="N98" i="4"/>
  <c r="M98" i="4"/>
  <c r="O97" i="4"/>
  <c r="P95" i="4"/>
  <c r="O95" i="4"/>
  <c r="N95" i="4"/>
  <c r="M95" i="4"/>
  <c r="L95" i="4"/>
  <c r="J93" i="4"/>
  <c r="I93" i="4"/>
  <c r="J92" i="4"/>
  <c r="I92" i="4"/>
  <c r="J90" i="4"/>
  <c r="J89" i="4"/>
  <c r="J88" i="4"/>
  <c r="I88" i="4"/>
  <c r="K88" i="4" s="1"/>
  <c r="J87" i="4"/>
  <c r="I87" i="4"/>
  <c r="K87" i="4" s="1"/>
  <c r="J86" i="4"/>
  <c r="I86" i="4"/>
  <c r="K86" i="4" s="1"/>
  <c r="J85" i="4"/>
  <c r="I85" i="4"/>
  <c r="K85" i="4" s="1"/>
  <c r="J84" i="4"/>
  <c r="I84" i="4"/>
  <c r="K84" i="4" s="1"/>
  <c r="J83" i="4"/>
  <c r="I83" i="4"/>
  <c r="J82" i="4"/>
  <c r="I82" i="4"/>
  <c r="K82" i="4" s="1"/>
  <c r="J81" i="4"/>
  <c r="I81" i="4"/>
  <c r="K81" i="4" s="1"/>
  <c r="J80" i="4"/>
  <c r="I80" i="4"/>
  <c r="K80" i="4" s="1"/>
  <c r="J79" i="4"/>
  <c r="J78" i="4"/>
  <c r="J77" i="4"/>
  <c r="J76" i="4"/>
  <c r="N74" i="4"/>
  <c r="L74" i="4"/>
  <c r="O74" i="4" s="1"/>
  <c r="L72" i="4"/>
  <c r="L71" i="4"/>
  <c r="N70" i="4"/>
  <c r="M70" i="4"/>
  <c r="M68" i="4" s="1"/>
  <c r="O69" i="4"/>
  <c r="P67" i="4"/>
  <c r="O67" i="4"/>
  <c r="N67" i="4"/>
  <c r="M67" i="4"/>
  <c r="L67" i="4"/>
  <c r="J65" i="4"/>
  <c r="I65" i="4"/>
  <c r="K65" i="4" s="1"/>
  <c r="J64" i="4"/>
  <c r="I64" i="4"/>
  <c r="K64" i="4" s="1"/>
  <c r="N61" i="4"/>
  <c r="L61" i="4"/>
  <c r="O61" i="4" s="1"/>
  <c r="L59" i="4"/>
  <c r="L58" i="4"/>
  <c r="N57" i="4"/>
  <c r="M57" i="4"/>
  <c r="M55" i="4" s="1"/>
  <c r="M53" i="4" s="1"/>
  <c r="P54" i="4"/>
  <c r="O54" i="4"/>
  <c r="N54" i="4"/>
  <c r="M54" i="4"/>
  <c r="L54" i="4"/>
  <c r="N49" i="4"/>
  <c r="L49" i="4"/>
  <c r="O49" i="4" s="1"/>
  <c r="L47" i="4"/>
  <c r="L46" i="4"/>
  <c r="N45" i="4"/>
  <c r="M45" i="4"/>
  <c r="M43" i="4" s="1"/>
  <c r="M41" i="4" s="1"/>
  <c r="P42" i="4"/>
  <c r="O42" i="4"/>
  <c r="N42" i="4"/>
  <c r="M42" i="4"/>
  <c r="L42" i="4"/>
  <c r="P36" i="4"/>
  <c r="O36" i="4"/>
  <c r="P35" i="4"/>
  <c r="O35" i="4"/>
  <c r="M34" i="4"/>
  <c r="P34" i="4" s="1"/>
  <c r="P33" i="4"/>
  <c r="M33" i="4"/>
  <c r="P32" i="4"/>
  <c r="M32" i="4"/>
  <c r="M30" i="4" s="1"/>
  <c r="P30" i="4" s="1"/>
  <c r="M31" i="4"/>
  <c r="P31" i="4" s="1"/>
  <c r="M29" i="4"/>
  <c r="N25" i="4"/>
  <c r="N15" i="4" s="1"/>
  <c r="M25" i="4"/>
  <c r="P25" i="4" s="1"/>
  <c r="L25" i="4"/>
  <c r="P24" i="4"/>
  <c r="N24" i="4"/>
  <c r="M24" i="4"/>
  <c r="P23" i="4"/>
  <c r="N23" i="4"/>
  <c r="M23" i="4"/>
  <c r="P21" i="4"/>
  <c r="O21" i="4"/>
  <c r="N21" i="4"/>
  <c r="N19" i="4" s="1"/>
  <c r="M21" i="4"/>
  <c r="L21" i="4"/>
  <c r="P14" i="4"/>
  <c r="M14" i="4"/>
  <c r="M13" i="4"/>
  <c r="P13" i="4" s="1"/>
  <c r="M11" i="4"/>
  <c r="J635" i="3"/>
  <c r="I635" i="3"/>
  <c r="J634" i="3"/>
  <c r="I634" i="3"/>
  <c r="J633" i="3"/>
  <c r="I633" i="3"/>
  <c r="K633" i="3" s="1"/>
  <c r="J632" i="3"/>
  <c r="I632" i="3"/>
  <c r="K632" i="3" s="1"/>
  <c r="J631" i="3"/>
  <c r="I631" i="3"/>
  <c r="J630" i="3"/>
  <c r="I630" i="3"/>
  <c r="J629" i="3"/>
  <c r="I629" i="3"/>
  <c r="J628" i="3"/>
  <c r="I628" i="3"/>
  <c r="J626" i="3"/>
  <c r="I626" i="3"/>
  <c r="J625" i="3"/>
  <c r="I625" i="3"/>
  <c r="J624" i="3"/>
  <c r="I624" i="3"/>
  <c r="J623" i="3"/>
  <c r="I623" i="3"/>
  <c r="J622" i="3"/>
  <c r="I622" i="3"/>
  <c r="J621" i="3"/>
  <c r="I621" i="3"/>
  <c r="J620" i="3"/>
  <c r="I620" i="3"/>
  <c r="K626" i="3" s="1"/>
  <c r="J619" i="3"/>
  <c r="I619" i="3"/>
  <c r="J618" i="3"/>
  <c r="I618" i="3"/>
  <c r="J617" i="3"/>
  <c r="I617" i="3"/>
  <c r="J616" i="3"/>
  <c r="I616" i="3"/>
  <c r="J615" i="3"/>
  <c r="I615" i="3"/>
  <c r="J614" i="3"/>
  <c r="I614" i="3"/>
  <c r="J613" i="3"/>
  <c r="I613" i="3"/>
  <c r="J612" i="3"/>
  <c r="I612" i="3"/>
  <c r="J611" i="3"/>
  <c r="I611" i="3"/>
  <c r="J610" i="3"/>
  <c r="J609" i="3"/>
  <c r="J608" i="3"/>
  <c r="J607" i="3"/>
  <c r="N605" i="3"/>
  <c r="N604" i="3"/>
  <c r="N603" i="3"/>
  <c r="N602" i="3"/>
  <c r="N601" i="3"/>
  <c r="L601" i="3"/>
  <c r="N600" i="3"/>
  <c r="L600" i="3"/>
  <c r="O600" i="3" s="1"/>
  <c r="N599" i="3"/>
  <c r="L599" i="3"/>
  <c r="N598" i="3"/>
  <c r="L598" i="3"/>
  <c r="O598" i="3" s="1"/>
  <c r="N597" i="3"/>
  <c r="L597" i="3"/>
  <c r="J597" i="3"/>
  <c r="I597" i="3"/>
  <c r="J596" i="3"/>
  <c r="I596" i="3"/>
  <c r="K596" i="3" s="1"/>
  <c r="J595" i="3"/>
  <c r="I595" i="3"/>
  <c r="K595" i="3" s="1"/>
  <c r="J594" i="3"/>
  <c r="I594" i="3"/>
  <c r="K594" i="3" s="1"/>
  <c r="J593" i="3"/>
  <c r="I593" i="3"/>
  <c r="K593" i="3" s="1"/>
  <c r="J592" i="3"/>
  <c r="I592" i="3"/>
  <c r="K592" i="3" s="1"/>
  <c r="J591" i="3"/>
  <c r="I591" i="3"/>
  <c r="K591" i="3" s="1"/>
  <c r="J590" i="3"/>
  <c r="I590" i="3"/>
  <c r="K590" i="3" s="1"/>
  <c r="J589" i="3"/>
  <c r="I589" i="3"/>
  <c r="K589" i="3" s="1"/>
  <c r="N588" i="3"/>
  <c r="N587" i="3"/>
  <c r="N586" i="3"/>
  <c r="N585" i="3"/>
  <c r="N584" i="3"/>
  <c r="L584" i="3"/>
  <c r="O584" i="3" s="1"/>
  <c r="N583" i="3"/>
  <c r="L583" i="3"/>
  <c r="O583" i="3" s="1"/>
  <c r="N582" i="3"/>
  <c r="L582" i="3"/>
  <c r="O582" i="3" s="1"/>
  <c r="N581" i="3"/>
  <c r="L581" i="3"/>
  <c r="O581" i="3" s="1"/>
  <c r="N580" i="3"/>
  <c r="L580" i="3"/>
  <c r="O580" i="3" s="1"/>
  <c r="J580" i="3"/>
  <c r="I580" i="3"/>
  <c r="K580" i="3" s="1"/>
  <c r="J579" i="3"/>
  <c r="I579" i="3"/>
  <c r="K579" i="3" s="1"/>
  <c r="J578" i="3"/>
  <c r="I578" i="3"/>
  <c r="K578" i="3" s="1"/>
  <c r="J577" i="3"/>
  <c r="I577" i="3"/>
  <c r="K577" i="3" s="1"/>
  <c r="J576" i="3"/>
  <c r="I576" i="3"/>
  <c r="K576" i="3" s="1"/>
  <c r="J575" i="3"/>
  <c r="I575" i="3"/>
  <c r="K575" i="3" s="1"/>
  <c r="J573" i="3"/>
  <c r="I573" i="3"/>
  <c r="N572" i="3"/>
  <c r="N571" i="3"/>
  <c r="N570" i="3"/>
  <c r="N569" i="3"/>
  <c r="N568" i="3"/>
  <c r="L568" i="3"/>
  <c r="N567" i="3"/>
  <c r="L567" i="3"/>
  <c r="O567" i="3" s="1"/>
  <c r="N566" i="3"/>
  <c r="L566" i="3"/>
  <c r="N565" i="3"/>
  <c r="L565" i="3"/>
  <c r="O565" i="3" s="1"/>
  <c r="N564" i="3"/>
  <c r="L564" i="3"/>
  <c r="J564" i="3"/>
  <c r="I564" i="3"/>
  <c r="J561" i="3"/>
  <c r="I561" i="3"/>
  <c r="K561" i="3" s="1"/>
  <c r="J560" i="3"/>
  <c r="I560" i="3"/>
  <c r="K560" i="3" s="1"/>
  <c r="N559" i="3"/>
  <c r="N558" i="3"/>
  <c r="N557" i="3"/>
  <c r="N556" i="3"/>
  <c r="N555" i="3"/>
  <c r="L555" i="3"/>
  <c r="O555" i="3" s="1"/>
  <c r="N554" i="3"/>
  <c r="L554" i="3"/>
  <c r="N553" i="3"/>
  <c r="L553" i="3"/>
  <c r="O553" i="3" s="1"/>
  <c r="N552" i="3"/>
  <c r="L552" i="3"/>
  <c r="O552" i="3" s="1"/>
  <c r="N551" i="3"/>
  <c r="L551" i="3"/>
  <c r="O551" i="3" s="1"/>
  <c r="J551" i="3"/>
  <c r="I551" i="3"/>
  <c r="K551" i="3" s="1"/>
  <c r="J550" i="3"/>
  <c r="J549" i="3"/>
  <c r="J548" i="3"/>
  <c r="I548" i="3"/>
  <c r="K548" i="3" s="1"/>
  <c r="J547" i="3"/>
  <c r="I547" i="3"/>
  <c r="J546" i="3"/>
  <c r="J545" i="3"/>
  <c r="J544" i="3"/>
  <c r="J543" i="3"/>
  <c r="N541" i="3"/>
  <c r="N540" i="3"/>
  <c r="N539" i="3"/>
  <c r="N538" i="3"/>
  <c r="N537" i="3"/>
  <c r="L537" i="3"/>
  <c r="N536" i="3"/>
  <c r="L536" i="3"/>
  <c r="O536" i="3" s="1"/>
  <c r="N535" i="3"/>
  <c r="L535" i="3"/>
  <c r="N534" i="3"/>
  <c r="L534" i="3"/>
  <c r="N533" i="3"/>
  <c r="L533" i="3"/>
  <c r="J533" i="3"/>
  <c r="I533" i="3"/>
  <c r="J532" i="3"/>
  <c r="I532" i="3"/>
  <c r="J531" i="3"/>
  <c r="I531" i="3"/>
  <c r="J530" i="3"/>
  <c r="I530" i="3"/>
  <c r="J529" i="3"/>
  <c r="I529" i="3"/>
  <c r="J528" i="3"/>
  <c r="I528" i="3"/>
  <c r="J527" i="3"/>
  <c r="I527" i="3"/>
  <c r="J526" i="3"/>
  <c r="I526" i="3"/>
  <c r="J525" i="3"/>
  <c r="I525" i="3"/>
  <c r="J524" i="3"/>
  <c r="I524" i="3"/>
  <c r="J523" i="3"/>
  <c r="I523" i="3"/>
  <c r="J522" i="3"/>
  <c r="I522" i="3"/>
  <c r="J521" i="3"/>
  <c r="I521" i="3"/>
  <c r="J520" i="3"/>
  <c r="I520" i="3"/>
  <c r="J519" i="3"/>
  <c r="I519" i="3"/>
  <c r="J518" i="3"/>
  <c r="I518" i="3"/>
  <c r="J517" i="3"/>
  <c r="I517" i="3"/>
  <c r="J516" i="3"/>
  <c r="I516" i="3"/>
  <c r="J515" i="3"/>
  <c r="I515" i="3"/>
  <c r="K515" i="3" s="1"/>
  <c r="J514" i="3"/>
  <c r="I514" i="3"/>
  <c r="K514" i="3" s="1"/>
  <c r="J513" i="3"/>
  <c r="I513" i="3"/>
  <c r="K513" i="3" s="1"/>
  <c r="J512" i="3"/>
  <c r="I512" i="3"/>
  <c r="K512" i="3" s="1"/>
  <c r="J511" i="3"/>
  <c r="I511" i="3"/>
  <c r="K511" i="3" s="1"/>
  <c r="J510" i="3"/>
  <c r="I510" i="3"/>
  <c r="J509" i="3"/>
  <c r="I509" i="3"/>
  <c r="K509" i="3" s="1"/>
  <c r="J508" i="3"/>
  <c r="I508" i="3"/>
  <c r="K508" i="3" s="1"/>
  <c r="J507" i="3"/>
  <c r="I507" i="3"/>
  <c r="K507" i="3" s="1"/>
  <c r="J506" i="3"/>
  <c r="I506" i="3"/>
  <c r="K506" i="3" s="1"/>
  <c r="J505" i="3"/>
  <c r="I505" i="3"/>
  <c r="K505" i="3" s="1"/>
  <c r="J504" i="3"/>
  <c r="I504" i="3"/>
  <c r="K504" i="3" s="1"/>
  <c r="J503" i="3"/>
  <c r="I503" i="3"/>
  <c r="K503" i="3" s="1"/>
  <c r="J502" i="3"/>
  <c r="I502" i="3"/>
  <c r="K502" i="3" s="1"/>
  <c r="J501" i="3"/>
  <c r="I501" i="3"/>
  <c r="K501" i="3" s="1"/>
  <c r="J500" i="3"/>
  <c r="I500" i="3"/>
  <c r="K500" i="3" s="1"/>
  <c r="J499" i="3"/>
  <c r="I499" i="3"/>
  <c r="J498" i="3"/>
  <c r="I498" i="3"/>
  <c r="J497" i="3"/>
  <c r="I497" i="3"/>
  <c r="J496" i="3"/>
  <c r="I496" i="3"/>
  <c r="K496" i="3" s="1"/>
  <c r="J495" i="3"/>
  <c r="I495" i="3"/>
  <c r="K495" i="3" s="1"/>
  <c r="J494" i="3"/>
  <c r="I494" i="3"/>
  <c r="K494" i="3" s="1"/>
  <c r="J493" i="3"/>
  <c r="I493" i="3"/>
  <c r="K493" i="3" s="1"/>
  <c r="J492" i="3"/>
  <c r="I492" i="3"/>
  <c r="K492" i="3" s="1"/>
  <c r="J491" i="3"/>
  <c r="I491" i="3"/>
  <c r="K491" i="3" s="1"/>
  <c r="J490" i="3"/>
  <c r="I490" i="3"/>
  <c r="K490" i="3" s="1"/>
  <c r="J489" i="3"/>
  <c r="I489" i="3"/>
  <c r="K489" i="3" s="1"/>
  <c r="J488" i="3"/>
  <c r="I488" i="3"/>
  <c r="K488" i="3" s="1"/>
  <c r="J487" i="3"/>
  <c r="I487" i="3"/>
  <c r="K487" i="3" s="1"/>
  <c r="J486" i="3"/>
  <c r="I486" i="3"/>
  <c r="K486" i="3" s="1"/>
  <c r="J485" i="3"/>
  <c r="I485" i="3"/>
  <c r="K485" i="3" s="1"/>
  <c r="J484" i="3"/>
  <c r="I484" i="3"/>
  <c r="K484" i="3" s="1"/>
  <c r="J483" i="3"/>
  <c r="I483" i="3"/>
  <c r="K483" i="3" s="1"/>
  <c r="J482" i="3"/>
  <c r="I482" i="3"/>
  <c r="J481" i="3"/>
  <c r="I481" i="3"/>
  <c r="J480" i="3"/>
  <c r="I480" i="3"/>
  <c r="K480" i="3" s="1"/>
  <c r="J479" i="3"/>
  <c r="I479" i="3"/>
  <c r="K479" i="3" s="1"/>
  <c r="J478" i="3"/>
  <c r="I478" i="3"/>
  <c r="K478" i="3" s="1"/>
  <c r="J477" i="3"/>
  <c r="I477" i="3"/>
  <c r="K477" i="3" s="1"/>
  <c r="J476" i="3"/>
  <c r="I476" i="3"/>
  <c r="K476" i="3" s="1"/>
  <c r="J475" i="3"/>
  <c r="I475" i="3"/>
  <c r="K475" i="3" s="1"/>
  <c r="J474" i="3"/>
  <c r="I474" i="3"/>
  <c r="J473" i="3"/>
  <c r="I473" i="3"/>
  <c r="J472" i="3"/>
  <c r="I472" i="3"/>
  <c r="K472" i="3" s="1"/>
  <c r="J471" i="3"/>
  <c r="I471" i="3"/>
  <c r="K471" i="3" s="1"/>
  <c r="J470" i="3"/>
  <c r="I470" i="3"/>
  <c r="K470" i="3" s="1"/>
  <c r="J469" i="3"/>
  <c r="I469" i="3"/>
  <c r="K469" i="3" s="1"/>
  <c r="J468" i="3"/>
  <c r="I468" i="3"/>
  <c r="K468" i="3" s="1"/>
  <c r="J467" i="3"/>
  <c r="I467" i="3"/>
  <c r="K467" i="3" s="1"/>
  <c r="J466" i="3"/>
  <c r="I466" i="3"/>
  <c r="J465" i="3"/>
  <c r="I465" i="3"/>
  <c r="J464" i="3"/>
  <c r="I464" i="3"/>
  <c r="N463" i="3"/>
  <c r="N462" i="3"/>
  <c r="N461" i="3"/>
  <c r="N460" i="3"/>
  <c r="N459" i="3"/>
  <c r="L459" i="3"/>
  <c r="N458" i="3"/>
  <c r="L458" i="3"/>
  <c r="O458" i="3" s="1"/>
  <c r="N457" i="3"/>
  <c r="L457" i="3"/>
  <c r="N456" i="3"/>
  <c r="L456" i="3"/>
  <c r="O456" i="3" s="1"/>
  <c r="N455" i="3"/>
  <c r="L455" i="3"/>
  <c r="J455" i="3"/>
  <c r="I455" i="3"/>
  <c r="J454" i="3"/>
  <c r="J453" i="3"/>
  <c r="J452" i="3"/>
  <c r="I452" i="3"/>
  <c r="K452" i="3" s="1"/>
  <c r="J451" i="3"/>
  <c r="I451" i="3"/>
  <c r="J450" i="3"/>
  <c r="I450" i="3"/>
  <c r="J449" i="3"/>
  <c r="I449" i="3"/>
  <c r="J448" i="3"/>
  <c r="J447" i="3"/>
  <c r="J446" i="3"/>
  <c r="J445" i="3"/>
  <c r="N443" i="3"/>
  <c r="N442" i="3"/>
  <c r="N441" i="3"/>
  <c r="N440" i="3"/>
  <c r="N439" i="3"/>
  <c r="L439" i="3"/>
  <c r="N438" i="3"/>
  <c r="L438" i="3"/>
  <c r="O438" i="3" s="1"/>
  <c r="N437" i="3"/>
  <c r="L437" i="3"/>
  <c r="N436" i="3"/>
  <c r="L436" i="3"/>
  <c r="O436" i="3" s="1"/>
  <c r="N435" i="3"/>
  <c r="L435" i="3"/>
  <c r="J435" i="3"/>
  <c r="I435" i="3"/>
  <c r="J434" i="3"/>
  <c r="J433" i="3"/>
  <c r="J432" i="3"/>
  <c r="I432" i="3"/>
  <c r="J431" i="3"/>
  <c r="I431" i="3"/>
  <c r="J430" i="3"/>
  <c r="I430" i="3"/>
  <c r="J429" i="3"/>
  <c r="I429" i="3"/>
  <c r="J428" i="3"/>
  <c r="I428" i="3"/>
  <c r="J427" i="3"/>
  <c r="I427" i="3"/>
  <c r="J426" i="3"/>
  <c r="I426" i="3"/>
  <c r="J425" i="3"/>
  <c r="I425" i="3"/>
  <c r="J424" i="3"/>
  <c r="I424" i="3"/>
  <c r="J423" i="3"/>
  <c r="I423" i="3"/>
  <c r="J422" i="3"/>
  <c r="I422" i="3"/>
  <c r="J421" i="3"/>
  <c r="I421" i="3"/>
  <c r="J420" i="3"/>
  <c r="I420" i="3"/>
  <c r="J419" i="3"/>
  <c r="I419" i="3"/>
  <c r="J418" i="3"/>
  <c r="I418" i="3"/>
  <c r="J417" i="3"/>
  <c r="I417" i="3"/>
  <c r="J416" i="3"/>
  <c r="I416" i="3"/>
  <c r="J415" i="3"/>
  <c r="J414" i="3"/>
  <c r="J413" i="3"/>
  <c r="J412" i="3"/>
  <c r="N410" i="3"/>
  <c r="N409" i="3"/>
  <c r="N408" i="3"/>
  <c r="N407" i="3"/>
  <c r="N406" i="3"/>
  <c r="L406" i="3"/>
  <c r="N405" i="3"/>
  <c r="L405" i="3"/>
  <c r="O405" i="3" s="1"/>
  <c r="N404" i="3"/>
  <c r="L404" i="3"/>
  <c r="N403" i="3"/>
  <c r="L403" i="3"/>
  <c r="J402" i="3"/>
  <c r="I402" i="3"/>
  <c r="N401" i="3"/>
  <c r="L401" i="3"/>
  <c r="J401" i="3"/>
  <c r="I401" i="3"/>
  <c r="J400" i="3"/>
  <c r="J399" i="3"/>
  <c r="J398" i="3"/>
  <c r="I398" i="3"/>
  <c r="J397" i="3"/>
  <c r="I397" i="3"/>
  <c r="J396" i="3"/>
  <c r="I396" i="3"/>
  <c r="J394" i="3"/>
  <c r="J393" i="3"/>
  <c r="J392" i="3"/>
  <c r="J391" i="3"/>
  <c r="N389" i="3"/>
  <c r="N388" i="3"/>
  <c r="N387" i="3"/>
  <c r="N386" i="3"/>
  <c r="N385" i="3"/>
  <c r="L385" i="3"/>
  <c r="N384" i="3"/>
  <c r="L384" i="3"/>
  <c r="O384" i="3" s="1"/>
  <c r="N383" i="3"/>
  <c r="L383" i="3"/>
  <c r="N382" i="3"/>
  <c r="L382" i="3"/>
  <c r="O382" i="3" s="1"/>
  <c r="J381" i="3"/>
  <c r="I381" i="3"/>
  <c r="N380" i="3"/>
  <c r="L380" i="3"/>
  <c r="J380" i="3"/>
  <c r="I380" i="3"/>
  <c r="J379" i="3"/>
  <c r="J378" i="3"/>
  <c r="J377" i="3"/>
  <c r="I377" i="3"/>
  <c r="J376" i="3"/>
  <c r="I376" i="3"/>
  <c r="J375" i="3"/>
  <c r="I375" i="3"/>
  <c r="J374" i="3"/>
  <c r="I374" i="3"/>
  <c r="J373" i="3"/>
  <c r="I373" i="3"/>
  <c r="J372" i="3"/>
  <c r="I372" i="3"/>
  <c r="J371" i="3"/>
  <c r="I371" i="3"/>
  <c r="K371" i="3" s="1"/>
  <c r="J370" i="3"/>
  <c r="I370" i="3"/>
  <c r="J369" i="3"/>
  <c r="I369" i="3"/>
  <c r="J368" i="3"/>
  <c r="I368" i="3"/>
  <c r="J367" i="3"/>
  <c r="J366" i="3"/>
  <c r="J365" i="3"/>
  <c r="I365" i="3"/>
  <c r="K365" i="3" s="1"/>
  <c r="J364" i="3"/>
  <c r="J363" i="3"/>
  <c r="J362" i="3"/>
  <c r="J361" i="3"/>
  <c r="J360" i="3"/>
  <c r="N358" i="3"/>
  <c r="N357" i="3"/>
  <c r="N356" i="3"/>
  <c r="N355" i="3"/>
  <c r="N354" i="3"/>
  <c r="L354" i="3"/>
  <c r="N353" i="3"/>
  <c r="L353" i="3"/>
  <c r="O353" i="3" s="1"/>
  <c r="N352" i="3"/>
  <c r="L352" i="3"/>
  <c r="N351" i="3"/>
  <c r="L351" i="3"/>
  <c r="O351" i="3" s="1"/>
  <c r="J350" i="3"/>
  <c r="I350" i="3"/>
  <c r="N349" i="3"/>
  <c r="L349" i="3"/>
  <c r="J349" i="3"/>
  <c r="I349" i="3"/>
  <c r="N347" i="3"/>
  <c r="L347" i="3"/>
  <c r="J346" i="3"/>
  <c r="I346" i="3"/>
  <c r="K346" i="3" s="1"/>
  <c r="J345" i="3"/>
  <c r="I345" i="3"/>
  <c r="J344" i="3"/>
  <c r="I344" i="3"/>
  <c r="K344" i="3" s="1"/>
  <c r="J343" i="3"/>
  <c r="I343" i="3"/>
  <c r="J342" i="3"/>
  <c r="I342" i="3"/>
  <c r="K342" i="3" s="1"/>
  <c r="J341" i="3"/>
  <c r="I341" i="3"/>
  <c r="J340" i="3"/>
  <c r="I340" i="3"/>
  <c r="J339" i="3"/>
  <c r="I339" i="3"/>
  <c r="K339" i="3" s="1"/>
  <c r="N337" i="3"/>
  <c r="L337" i="3"/>
  <c r="O337" i="3" s="1"/>
  <c r="L335" i="3"/>
  <c r="L334" i="3"/>
  <c r="N333" i="3"/>
  <c r="M333" i="3"/>
  <c r="O332" i="3"/>
  <c r="N330" i="3"/>
  <c r="M330" i="3"/>
  <c r="P330" i="3" s="1"/>
  <c r="L330" i="3"/>
  <c r="J328" i="3"/>
  <c r="I328" i="3"/>
  <c r="J326" i="3"/>
  <c r="J325" i="3"/>
  <c r="J324" i="3"/>
  <c r="I324" i="3"/>
  <c r="J323" i="3"/>
  <c r="J322" i="3"/>
  <c r="J321" i="3"/>
  <c r="J320" i="3"/>
  <c r="N318" i="3"/>
  <c r="L318" i="3"/>
  <c r="O318" i="3" s="1"/>
  <c r="L316" i="3"/>
  <c r="L315" i="3"/>
  <c r="N314" i="3"/>
  <c r="M314" i="3"/>
  <c r="M312" i="3" s="1"/>
  <c r="O313" i="3"/>
  <c r="N311" i="3"/>
  <c r="M311" i="3"/>
  <c r="P311" i="3" s="1"/>
  <c r="L311" i="3"/>
  <c r="O311" i="3" s="1"/>
  <c r="J309" i="3"/>
  <c r="I309" i="3"/>
  <c r="J308" i="3"/>
  <c r="J307" i="3"/>
  <c r="J306" i="3"/>
  <c r="I306" i="3"/>
  <c r="J304" i="3"/>
  <c r="I304" i="3"/>
  <c r="J303" i="3"/>
  <c r="J302" i="3"/>
  <c r="J301" i="3"/>
  <c r="J300" i="3"/>
  <c r="N298" i="3"/>
  <c r="L298" i="3"/>
  <c r="O298" i="3" s="1"/>
  <c r="L296" i="3"/>
  <c r="L295" i="3"/>
  <c r="N294" i="3"/>
  <c r="M294" i="3"/>
  <c r="M292" i="3" s="1"/>
  <c r="O293" i="3"/>
  <c r="O291" i="3"/>
  <c r="N291" i="3"/>
  <c r="M291" i="3"/>
  <c r="P291" i="3" s="1"/>
  <c r="L291" i="3"/>
  <c r="J289" i="3"/>
  <c r="I289" i="3"/>
  <c r="J287" i="3"/>
  <c r="J286" i="3"/>
  <c r="J285" i="3"/>
  <c r="I285" i="3"/>
  <c r="J284" i="3"/>
  <c r="J283" i="3"/>
  <c r="J282" i="3"/>
  <c r="J281" i="3"/>
  <c r="N279" i="3"/>
  <c r="L279" i="3"/>
  <c r="O279" i="3" s="1"/>
  <c r="L277" i="3"/>
  <c r="L276" i="3"/>
  <c r="N275" i="3"/>
  <c r="M275" i="3"/>
  <c r="M273" i="3" s="1"/>
  <c r="O274" i="3"/>
  <c r="P272" i="3"/>
  <c r="N272" i="3"/>
  <c r="M272" i="3"/>
  <c r="L272" i="3"/>
  <c r="O272" i="3" s="1"/>
  <c r="J270" i="3"/>
  <c r="I270" i="3"/>
  <c r="J269" i="3"/>
  <c r="J268" i="3"/>
  <c r="J267" i="3"/>
  <c r="I267" i="3"/>
  <c r="J266" i="3"/>
  <c r="I266" i="3"/>
  <c r="J265" i="3"/>
  <c r="I265" i="3"/>
  <c r="J264" i="3"/>
  <c r="I264" i="3"/>
  <c r="J263" i="3"/>
  <c r="J262" i="3"/>
  <c r="J261" i="3"/>
  <c r="J260" i="3"/>
  <c r="N258" i="3"/>
  <c r="L258" i="3"/>
  <c r="O258" i="3" s="1"/>
  <c r="L256" i="3"/>
  <c r="L255" i="3"/>
  <c r="N254" i="3"/>
  <c r="M254" i="3"/>
  <c r="O253" i="3"/>
  <c r="P251" i="3"/>
  <c r="O251" i="3"/>
  <c r="N251" i="3"/>
  <c r="M251" i="3"/>
  <c r="L251" i="3"/>
  <c r="J249" i="3"/>
  <c r="I249" i="3"/>
  <c r="J246" i="3"/>
  <c r="J245" i="3"/>
  <c r="J244" i="3"/>
  <c r="I244" i="3"/>
  <c r="K244" i="3" s="1"/>
  <c r="J243" i="3"/>
  <c r="J242" i="3"/>
  <c r="J241" i="3"/>
  <c r="J240" i="3"/>
  <c r="J238" i="3"/>
  <c r="I238" i="3"/>
  <c r="K238" i="3" s="1"/>
  <c r="J237" i="3"/>
  <c r="J236" i="3"/>
  <c r="J235" i="3"/>
  <c r="I235" i="3"/>
  <c r="K235" i="3" s="1"/>
  <c r="J234" i="3"/>
  <c r="J233" i="3"/>
  <c r="J232" i="3"/>
  <c r="J231" i="3"/>
  <c r="J229" i="3"/>
  <c r="I229" i="3"/>
  <c r="K229" i="3" s="1"/>
  <c r="N228" i="3"/>
  <c r="L228" i="3"/>
  <c r="L226" i="3"/>
  <c r="L225" i="3"/>
  <c r="N224" i="3"/>
  <c r="M224" i="3"/>
  <c r="M222" i="3" s="1"/>
  <c r="P222" i="3" s="1"/>
  <c r="O223" i="3"/>
  <c r="O221" i="3"/>
  <c r="N221" i="3"/>
  <c r="M221" i="3"/>
  <c r="M221" i="1" s="1"/>
  <c r="P221" i="1" s="1"/>
  <c r="L221" i="3"/>
  <c r="J219" i="3"/>
  <c r="I219" i="3"/>
  <c r="K219" i="3" s="1"/>
  <c r="J218" i="3"/>
  <c r="J217" i="3"/>
  <c r="J216" i="3"/>
  <c r="I216" i="3"/>
  <c r="K216" i="3" s="1"/>
  <c r="J215" i="3"/>
  <c r="I215" i="3"/>
  <c r="K215" i="3" s="1"/>
  <c r="J213" i="3"/>
  <c r="I213" i="3"/>
  <c r="K213" i="3" s="1"/>
  <c r="J212" i="3"/>
  <c r="J211" i="3"/>
  <c r="J210" i="3"/>
  <c r="J209" i="3"/>
  <c r="J204" i="3"/>
  <c r="I204" i="3"/>
  <c r="K204" i="3" s="1"/>
  <c r="J203" i="3"/>
  <c r="J202" i="3"/>
  <c r="J201" i="3"/>
  <c r="I201" i="3"/>
  <c r="J200" i="3"/>
  <c r="I200" i="3"/>
  <c r="J199" i="3"/>
  <c r="I199" i="3"/>
  <c r="J197" i="3"/>
  <c r="J196" i="3"/>
  <c r="J195" i="3"/>
  <c r="J194" i="3"/>
  <c r="J189" i="3"/>
  <c r="I189" i="3"/>
  <c r="J188" i="3"/>
  <c r="J187" i="3"/>
  <c r="J186" i="3"/>
  <c r="I186" i="3"/>
  <c r="J185" i="3"/>
  <c r="I185" i="3"/>
  <c r="J184" i="3"/>
  <c r="J183" i="3"/>
  <c r="J182" i="3"/>
  <c r="J181" i="3"/>
  <c r="J176" i="3"/>
  <c r="I176" i="3"/>
  <c r="J175" i="3"/>
  <c r="J174" i="3"/>
  <c r="J173" i="3"/>
  <c r="I173" i="3"/>
  <c r="J172" i="3"/>
  <c r="J171" i="3"/>
  <c r="J170" i="3"/>
  <c r="J169" i="3"/>
  <c r="J164" i="3"/>
  <c r="I164" i="3"/>
  <c r="J163" i="3"/>
  <c r="J162" i="3"/>
  <c r="J161" i="3"/>
  <c r="J160" i="3"/>
  <c r="J159" i="3"/>
  <c r="J158" i="3"/>
  <c r="I158" i="3"/>
  <c r="J157" i="3"/>
  <c r="J156" i="3"/>
  <c r="J155" i="3"/>
  <c r="J154" i="3"/>
  <c r="J149" i="3"/>
  <c r="I149" i="3"/>
  <c r="N148" i="3"/>
  <c r="L148" i="3"/>
  <c r="O148" i="3" s="1"/>
  <c r="L146" i="3"/>
  <c r="L145" i="3"/>
  <c r="N144" i="3"/>
  <c r="M144" i="3"/>
  <c r="O143" i="3"/>
  <c r="P141" i="3"/>
  <c r="N141" i="3"/>
  <c r="M141" i="3"/>
  <c r="L141" i="3"/>
  <c r="O141" i="3" s="1"/>
  <c r="J138" i="3"/>
  <c r="I138" i="3"/>
  <c r="J135" i="3"/>
  <c r="J134" i="3"/>
  <c r="J133" i="3"/>
  <c r="I133" i="3"/>
  <c r="J132" i="3"/>
  <c r="I132" i="3"/>
  <c r="J131" i="3"/>
  <c r="J130" i="3"/>
  <c r="J129" i="3"/>
  <c r="J128" i="3"/>
  <c r="N126" i="3"/>
  <c r="L126" i="3"/>
  <c r="L124" i="3"/>
  <c r="L123" i="3"/>
  <c r="N122" i="3"/>
  <c r="M122" i="3"/>
  <c r="M120" i="3" s="1"/>
  <c r="O121" i="3"/>
  <c r="O119" i="3"/>
  <c r="N119" i="3"/>
  <c r="M119" i="3"/>
  <c r="P119" i="3" s="1"/>
  <c r="L119" i="3"/>
  <c r="J117" i="3"/>
  <c r="I117" i="3"/>
  <c r="J115" i="3"/>
  <c r="J114" i="3"/>
  <c r="J113" i="3"/>
  <c r="I113" i="3"/>
  <c r="J112" i="3"/>
  <c r="I112" i="3"/>
  <c r="J111" i="3"/>
  <c r="I111" i="3"/>
  <c r="J110" i="3"/>
  <c r="I110" i="3"/>
  <c r="J109" i="3"/>
  <c r="I109" i="3"/>
  <c r="J108" i="3"/>
  <c r="I108" i="3"/>
  <c r="J107" i="3"/>
  <c r="J106" i="3"/>
  <c r="J105" i="3"/>
  <c r="J104" i="3"/>
  <c r="N102" i="3"/>
  <c r="L102" i="3"/>
  <c r="M102" i="3" s="1"/>
  <c r="L100" i="3"/>
  <c r="L99" i="3"/>
  <c r="N98" i="3"/>
  <c r="M98" i="3"/>
  <c r="O97" i="3"/>
  <c r="P95" i="3"/>
  <c r="N95" i="3"/>
  <c r="M95" i="3"/>
  <c r="L95" i="3"/>
  <c r="O95" i="3" s="1"/>
  <c r="J93" i="3"/>
  <c r="I93" i="3"/>
  <c r="J92" i="3"/>
  <c r="I92" i="3"/>
  <c r="J90" i="3"/>
  <c r="J89" i="3"/>
  <c r="J88" i="3"/>
  <c r="I88" i="3"/>
  <c r="K88" i="3" s="1"/>
  <c r="J87" i="3"/>
  <c r="I87" i="3"/>
  <c r="J86" i="3"/>
  <c r="I86" i="3"/>
  <c r="J85" i="3"/>
  <c r="I85" i="3"/>
  <c r="K85" i="3" s="1"/>
  <c r="J84" i="3"/>
  <c r="I84" i="3"/>
  <c r="K84" i="3" s="1"/>
  <c r="J83" i="3"/>
  <c r="I83" i="3"/>
  <c r="K83" i="3" s="1"/>
  <c r="J82" i="3"/>
  <c r="I82" i="3"/>
  <c r="K82" i="3" s="1"/>
  <c r="J81" i="3"/>
  <c r="I81" i="3"/>
  <c r="J80" i="3"/>
  <c r="I80" i="3"/>
  <c r="J79" i="3"/>
  <c r="J78" i="3"/>
  <c r="J77" i="3"/>
  <c r="J76" i="3"/>
  <c r="N74" i="3"/>
  <c r="L74" i="3"/>
  <c r="O74" i="3" s="1"/>
  <c r="L72" i="3"/>
  <c r="L71" i="3"/>
  <c r="N70" i="3"/>
  <c r="M70" i="3"/>
  <c r="M68" i="3" s="1"/>
  <c r="O69" i="3"/>
  <c r="O67" i="3"/>
  <c r="N67" i="3"/>
  <c r="M67" i="3"/>
  <c r="P67" i="3" s="1"/>
  <c r="L67" i="3"/>
  <c r="J65" i="3"/>
  <c r="I65" i="3"/>
  <c r="J64" i="3"/>
  <c r="I64" i="3"/>
  <c r="N61" i="3"/>
  <c r="L61" i="3"/>
  <c r="O61" i="3" s="1"/>
  <c r="L59" i="3"/>
  <c r="L58" i="3"/>
  <c r="N57" i="3"/>
  <c r="M57" i="3"/>
  <c r="M55" i="3" s="1"/>
  <c r="M53" i="3" s="1"/>
  <c r="P54" i="3"/>
  <c r="N54" i="3"/>
  <c r="M54" i="3"/>
  <c r="L54" i="3"/>
  <c r="O54" i="3" s="1"/>
  <c r="N49" i="3"/>
  <c r="L49" i="3"/>
  <c r="O49" i="3" s="1"/>
  <c r="L47" i="3"/>
  <c r="L46" i="3"/>
  <c r="N45" i="3"/>
  <c r="M45" i="3"/>
  <c r="N42" i="3"/>
  <c r="M42" i="3"/>
  <c r="P42" i="3" s="1"/>
  <c r="L42" i="3"/>
  <c r="O42" i="3" s="1"/>
  <c r="P36" i="3"/>
  <c r="O36" i="3"/>
  <c r="P35" i="3"/>
  <c r="O35" i="3"/>
  <c r="P34" i="3"/>
  <c r="M34" i="3"/>
  <c r="M33" i="3"/>
  <c r="P33" i="3" s="1"/>
  <c r="P32" i="3"/>
  <c r="M32" i="3"/>
  <c r="M31" i="3"/>
  <c r="P31" i="3" s="1"/>
  <c r="P30" i="3"/>
  <c r="M30" i="3"/>
  <c r="M29" i="3"/>
  <c r="N25" i="3"/>
  <c r="N15" i="3" s="1"/>
  <c r="M25" i="3"/>
  <c r="P25" i="3" s="1"/>
  <c r="L25" i="3"/>
  <c r="N24" i="3"/>
  <c r="M24" i="3"/>
  <c r="P24" i="3" s="1"/>
  <c r="P23" i="3"/>
  <c r="N23" i="3"/>
  <c r="M23" i="3"/>
  <c r="P21" i="3"/>
  <c r="N21" i="3"/>
  <c r="M21" i="3"/>
  <c r="M19" i="3" s="1"/>
  <c r="L21" i="3"/>
  <c r="O21" i="3" s="1"/>
  <c r="M15" i="3"/>
  <c r="P15" i="3" s="1"/>
  <c r="P14" i="3"/>
  <c r="M14" i="3"/>
  <c r="M13" i="3"/>
  <c r="P13" i="3" s="1"/>
  <c r="M11" i="3"/>
  <c r="J635" i="2"/>
  <c r="I635" i="2"/>
  <c r="J634" i="2"/>
  <c r="I634" i="2"/>
  <c r="J633" i="2"/>
  <c r="I633" i="2"/>
  <c r="K633" i="2" s="1"/>
  <c r="J632" i="2"/>
  <c r="I632" i="2"/>
  <c r="J631" i="2"/>
  <c r="I631" i="2"/>
  <c r="J630" i="2"/>
  <c r="I630" i="2"/>
  <c r="J629" i="2"/>
  <c r="I629" i="2"/>
  <c r="J628" i="2"/>
  <c r="I628" i="2"/>
  <c r="J626" i="2"/>
  <c r="I626" i="2"/>
  <c r="J625" i="2"/>
  <c r="I625" i="2"/>
  <c r="J624" i="2"/>
  <c r="I624" i="2"/>
  <c r="J623" i="2"/>
  <c r="I623" i="2"/>
  <c r="J622" i="2"/>
  <c r="I622" i="2"/>
  <c r="J621" i="2"/>
  <c r="I621" i="2"/>
  <c r="J620" i="2"/>
  <c r="I620" i="2"/>
  <c r="K626" i="2" s="1"/>
  <c r="J619" i="2"/>
  <c r="I619" i="2"/>
  <c r="J618" i="2"/>
  <c r="I618" i="2"/>
  <c r="J617" i="2"/>
  <c r="I617" i="2"/>
  <c r="J616" i="2"/>
  <c r="I616" i="2"/>
  <c r="J615" i="2"/>
  <c r="I615" i="2"/>
  <c r="J614" i="2"/>
  <c r="I614" i="2"/>
  <c r="J613" i="2"/>
  <c r="I613" i="2"/>
  <c r="J612" i="2"/>
  <c r="I612" i="2"/>
  <c r="J611" i="2"/>
  <c r="I611" i="2"/>
  <c r="J610" i="2"/>
  <c r="J609" i="2"/>
  <c r="J608" i="2"/>
  <c r="J607" i="2"/>
  <c r="N605" i="2"/>
  <c r="N604" i="2"/>
  <c r="N603" i="2"/>
  <c r="N602" i="2"/>
  <c r="N601" i="2"/>
  <c r="L601" i="2"/>
  <c r="N600" i="2"/>
  <c r="L600" i="2"/>
  <c r="O600" i="2" s="1"/>
  <c r="N599" i="2"/>
  <c r="L599" i="2"/>
  <c r="N598" i="2"/>
  <c r="L598" i="2"/>
  <c r="O598" i="2" s="1"/>
  <c r="N597" i="2"/>
  <c r="L597" i="2"/>
  <c r="J597" i="2"/>
  <c r="I597" i="2"/>
  <c r="J596" i="2"/>
  <c r="I596" i="2"/>
  <c r="K596" i="2" s="1"/>
  <c r="J595" i="2"/>
  <c r="I595" i="2"/>
  <c r="K595" i="2" s="1"/>
  <c r="J594" i="2"/>
  <c r="I594" i="2"/>
  <c r="K594" i="2" s="1"/>
  <c r="J593" i="2"/>
  <c r="I593" i="2"/>
  <c r="K593" i="2" s="1"/>
  <c r="J592" i="2"/>
  <c r="I592" i="2"/>
  <c r="K592" i="2" s="1"/>
  <c r="J591" i="2"/>
  <c r="I591" i="2"/>
  <c r="K591" i="2" s="1"/>
  <c r="J590" i="2"/>
  <c r="I590" i="2"/>
  <c r="K590" i="2" s="1"/>
  <c r="J589" i="2"/>
  <c r="I589" i="2"/>
  <c r="K589" i="2" s="1"/>
  <c r="N588" i="2"/>
  <c r="N587" i="2"/>
  <c r="N586" i="2"/>
  <c r="N585" i="2"/>
  <c r="N584" i="2"/>
  <c r="L584" i="2"/>
  <c r="O584" i="2" s="1"/>
  <c r="N583" i="2"/>
  <c r="L583" i="2"/>
  <c r="O583" i="2" s="1"/>
  <c r="N582" i="2"/>
  <c r="L582" i="2"/>
  <c r="N581" i="2"/>
  <c r="L581" i="2"/>
  <c r="O581" i="2" s="1"/>
  <c r="N580" i="2"/>
  <c r="L580" i="2"/>
  <c r="O580" i="2" s="1"/>
  <c r="J580" i="2"/>
  <c r="I580" i="2"/>
  <c r="K580" i="2" s="1"/>
  <c r="J579" i="2"/>
  <c r="I579" i="2"/>
  <c r="J578" i="2"/>
  <c r="I578" i="2"/>
  <c r="K578" i="2" s="1"/>
  <c r="J577" i="2"/>
  <c r="I577" i="2"/>
  <c r="K577" i="2" s="1"/>
  <c r="J576" i="2"/>
  <c r="I576" i="2"/>
  <c r="K576" i="2" s="1"/>
  <c r="J575" i="2"/>
  <c r="I575" i="2"/>
  <c r="K575" i="2" s="1"/>
  <c r="J573" i="2"/>
  <c r="I573" i="2"/>
  <c r="N572" i="2"/>
  <c r="N571" i="2"/>
  <c r="N570" i="2"/>
  <c r="N569" i="2"/>
  <c r="N568" i="2"/>
  <c r="L568" i="2"/>
  <c r="N567" i="2"/>
  <c r="L567" i="2"/>
  <c r="O567" i="2" s="1"/>
  <c r="N566" i="2"/>
  <c r="L566" i="2"/>
  <c r="N565" i="2"/>
  <c r="L565" i="2"/>
  <c r="O565" i="2" s="1"/>
  <c r="N564" i="2"/>
  <c r="L564" i="2"/>
  <c r="J564" i="2"/>
  <c r="I564" i="2"/>
  <c r="J561" i="2"/>
  <c r="I561" i="2"/>
  <c r="J560" i="2"/>
  <c r="I560" i="2"/>
  <c r="K560" i="2" s="1"/>
  <c r="N559" i="2"/>
  <c r="N558" i="2"/>
  <c r="N557" i="2"/>
  <c r="N556" i="2"/>
  <c r="N555" i="2"/>
  <c r="L555" i="2"/>
  <c r="O555" i="2" s="1"/>
  <c r="N554" i="2"/>
  <c r="L554" i="2"/>
  <c r="O554" i="2" s="1"/>
  <c r="N553" i="2"/>
  <c r="L553" i="2"/>
  <c r="O553" i="2" s="1"/>
  <c r="N552" i="2"/>
  <c r="L552" i="2"/>
  <c r="O552" i="2" s="1"/>
  <c r="N551" i="2"/>
  <c r="L551" i="2"/>
  <c r="O551" i="2" s="1"/>
  <c r="J551" i="2"/>
  <c r="I551" i="2"/>
  <c r="K551" i="2" s="1"/>
  <c r="J550" i="2"/>
  <c r="J549" i="2"/>
  <c r="J548" i="2"/>
  <c r="I548" i="2"/>
  <c r="K548" i="2" s="1"/>
  <c r="J547" i="2"/>
  <c r="I547" i="2"/>
  <c r="J546" i="2"/>
  <c r="J545" i="2"/>
  <c r="J544" i="2"/>
  <c r="J543" i="2"/>
  <c r="N541" i="2"/>
  <c r="N540" i="2"/>
  <c r="N539" i="2"/>
  <c r="N538" i="2"/>
  <c r="N537" i="2"/>
  <c r="L537" i="2"/>
  <c r="N536" i="2"/>
  <c r="L536" i="2"/>
  <c r="N535" i="2"/>
  <c r="L535" i="2"/>
  <c r="N534" i="2"/>
  <c r="L534" i="2"/>
  <c r="O534" i="2" s="1"/>
  <c r="N533" i="2"/>
  <c r="L533" i="2"/>
  <c r="J533" i="2"/>
  <c r="I533" i="2"/>
  <c r="J532" i="2"/>
  <c r="I532" i="2"/>
  <c r="J531" i="2"/>
  <c r="I531" i="2"/>
  <c r="J530" i="2"/>
  <c r="I530" i="2"/>
  <c r="J529" i="2"/>
  <c r="I529" i="2"/>
  <c r="J528" i="2"/>
  <c r="I528" i="2"/>
  <c r="J527" i="2"/>
  <c r="I527" i="2"/>
  <c r="J526" i="2"/>
  <c r="I526" i="2"/>
  <c r="J525" i="2"/>
  <c r="I525" i="2"/>
  <c r="J524" i="2"/>
  <c r="I524" i="2"/>
  <c r="J523" i="2"/>
  <c r="I523" i="2"/>
  <c r="J522" i="2"/>
  <c r="I522" i="2"/>
  <c r="J521" i="2"/>
  <c r="I521" i="2"/>
  <c r="J520" i="2"/>
  <c r="I520" i="2"/>
  <c r="J519" i="2"/>
  <c r="I519" i="2"/>
  <c r="J518" i="2"/>
  <c r="I518" i="2"/>
  <c r="J517" i="2"/>
  <c r="I517" i="2"/>
  <c r="J516" i="2"/>
  <c r="I516" i="2"/>
  <c r="J515" i="2"/>
  <c r="I515" i="2"/>
  <c r="K515" i="2" s="1"/>
  <c r="J514" i="2"/>
  <c r="I514" i="2"/>
  <c r="K514" i="2" s="1"/>
  <c r="J513" i="2"/>
  <c r="I513" i="2"/>
  <c r="K513" i="2" s="1"/>
  <c r="J512" i="2"/>
  <c r="I512" i="2"/>
  <c r="K512" i="2" s="1"/>
  <c r="J511" i="2"/>
  <c r="I511" i="2"/>
  <c r="K511" i="2" s="1"/>
  <c r="J510" i="2"/>
  <c r="I510" i="2"/>
  <c r="K510" i="2" s="1"/>
  <c r="J509" i="2"/>
  <c r="I509" i="2"/>
  <c r="K509" i="2" s="1"/>
  <c r="J508" i="2"/>
  <c r="I508" i="2"/>
  <c r="K508" i="2" s="1"/>
  <c r="J507" i="2"/>
  <c r="I507" i="2"/>
  <c r="K507" i="2" s="1"/>
  <c r="J506" i="2"/>
  <c r="I506" i="2"/>
  <c r="K506" i="2" s="1"/>
  <c r="J505" i="2"/>
  <c r="I505" i="2"/>
  <c r="K505" i="2" s="1"/>
  <c r="J504" i="2"/>
  <c r="I504" i="2"/>
  <c r="K504" i="2" s="1"/>
  <c r="J503" i="2"/>
  <c r="I503" i="2"/>
  <c r="K503" i="2" s="1"/>
  <c r="J502" i="2"/>
  <c r="I502" i="2"/>
  <c r="K502" i="2" s="1"/>
  <c r="J501" i="2"/>
  <c r="I501" i="2"/>
  <c r="K501" i="2" s="1"/>
  <c r="J500" i="2"/>
  <c r="I500" i="2"/>
  <c r="K500" i="2" s="1"/>
  <c r="J499" i="2"/>
  <c r="I499" i="2"/>
  <c r="J498" i="2"/>
  <c r="I498" i="2"/>
  <c r="J497" i="2"/>
  <c r="I497" i="2"/>
  <c r="J496" i="2"/>
  <c r="I496" i="2"/>
  <c r="K496" i="2" s="1"/>
  <c r="J495" i="2"/>
  <c r="I495" i="2"/>
  <c r="K495" i="2" s="1"/>
  <c r="J494" i="2"/>
  <c r="I494" i="2"/>
  <c r="K494" i="2" s="1"/>
  <c r="J493" i="2"/>
  <c r="I493" i="2"/>
  <c r="K493" i="2" s="1"/>
  <c r="J492" i="2"/>
  <c r="I492" i="2"/>
  <c r="K492" i="2" s="1"/>
  <c r="J491" i="2"/>
  <c r="I491" i="2"/>
  <c r="J490" i="2"/>
  <c r="I490" i="2"/>
  <c r="K490" i="2" s="1"/>
  <c r="J489" i="2"/>
  <c r="I489" i="2"/>
  <c r="K489" i="2" s="1"/>
  <c r="J488" i="2"/>
  <c r="I488" i="2"/>
  <c r="J487" i="2"/>
  <c r="I487" i="2"/>
  <c r="K487" i="2" s="1"/>
  <c r="J486" i="2"/>
  <c r="I486" i="2"/>
  <c r="K486" i="2" s="1"/>
  <c r="J485" i="2"/>
  <c r="I485" i="2"/>
  <c r="J484" i="2"/>
  <c r="I484" i="2"/>
  <c r="K484" i="2" s="1"/>
  <c r="J483" i="2"/>
  <c r="I483" i="2"/>
  <c r="K483" i="2" s="1"/>
  <c r="J482" i="2"/>
  <c r="I482" i="2"/>
  <c r="J481" i="2"/>
  <c r="I481" i="2"/>
  <c r="J480" i="2"/>
  <c r="I480" i="2"/>
  <c r="J479" i="2"/>
  <c r="I479" i="2"/>
  <c r="K479" i="2" s="1"/>
  <c r="J478" i="2"/>
  <c r="I478" i="2"/>
  <c r="J477" i="2"/>
  <c r="I477" i="2"/>
  <c r="K477" i="2" s="1"/>
  <c r="J476" i="2"/>
  <c r="I476" i="2"/>
  <c r="K476" i="2" s="1"/>
  <c r="J475" i="2"/>
  <c r="I475" i="2"/>
  <c r="K475" i="2" s="1"/>
  <c r="J474" i="2"/>
  <c r="I474" i="2"/>
  <c r="J473" i="2"/>
  <c r="I473" i="2"/>
  <c r="J472" i="2"/>
  <c r="I472" i="2"/>
  <c r="K472" i="2" s="1"/>
  <c r="J471" i="2"/>
  <c r="I471" i="2"/>
  <c r="J470" i="2"/>
  <c r="I470" i="2"/>
  <c r="K470" i="2" s="1"/>
  <c r="J469" i="2"/>
  <c r="I469" i="2"/>
  <c r="K469" i="2" s="1"/>
  <c r="J468" i="2"/>
  <c r="I468" i="2"/>
  <c r="J467" i="2"/>
  <c r="I467" i="2"/>
  <c r="K467" i="2" s="1"/>
  <c r="J466" i="2"/>
  <c r="I466" i="2"/>
  <c r="J465" i="2"/>
  <c r="I465" i="2"/>
  <c r="J464" i="2"/>
  <c r="I464" i="2"/>
  <c r="N463" i="2"/>
  <c r="N462" i="2"/>
  <c r="N461" i="2"/>
  <c r="N460" i="2"/>
  <c r="N459" i="2"/>
  <c r="L459" i="2"/>
  <c r="N458" i="2"/>
  <c r="L458" i="2"/>
  <c r="N457" i="2"/>
  <c r="L457" i="2"/>
  <c r="N456" i="2"/>
  <c r="L456" i="2"/>
  <c r="O456" i="2" s="1"/>
  <c r="N455" i="2"/>
  <c r="L455" i="2"/>
  <c r="J455" i="2"/>
  <c r="I455" i="2"/>
  <c r="J454" i="2"/>
  <c r="J453" i="2"/>
  <c r="J452" i="2"/>
  <c r="I452" i="2"/>
  <c r="K452" i="2" s="1"/>
  <c r="J451" i="2"/>
  <c r="I451" i="2"/>
  <c r="K451" i="2" s="1"/>
  <c r="J450" i="2"/>
  <c r="I450" i="2"/>
  <c r="J449" i="2"/>
  <c r="I449" i="2"/>
  <c r="J448" i="2"/>
  <c r="J447" i="2"/>
  <c r="J446" i="2"/>
  <c r="J445" i="2"/>
  <c r="N443" i="2"/>
  <c r="N442" i="2"/>
  <c r="N441" i="2"/>
  <c r="N440" i="2"/>
  <c r="N439" i="2"/>
  <c r="L439" i="2"/>
  <c r="N438" i="2"/>
  <c r="L438" i="2"/>
  <c r="O438" i="2" s="1"/>
  <c r="N437" i="2"/>
  <c r="L437" i="2"/>
  <c r="N436" i="2"/>
  <c r="L436" i="2"/>
  <c r="O436" i="2" s="1"/>
  <c r="N435" i="2"/>
  <c r="L435" i="2"/>
  <c r="J435" i="2"/>
  <c r="I435" i="2"/>
  <c r="J434" i="2"/>
  <c r="J433" i="2"/>
  <c r="J432" i="2"/>
  <c r="I432" i="2"/>
  <c r="J431" i="2"/>
  <c r="I431" i="2"/>
  <c r="J430" i="2"/>
  <c r="I430" i="2"/>
  <c r="J429" i="2"/>
  <c r="I429" i="2"/>
  <c r="J428" i="2"/>
  <c r="I428" i="2"/>
  <c r="J427" i="2"/>
  <c r="I427" i="2"/>
  <c r="J426" i="2"/>
  <c r="I426" i="2"/>
  <c r="J425" i="2"/>
  <c r="I425" i="2"/>
  <c r="J424" i="2"/>
  <c r="I424" i="2"/>
  <c r="J423" i="2"/>
  <c r="I423" i="2"/>
  <c r="J422" i="2"/>
  <c r="I422" i="2"/>
  <c r="J421" i="2"/>
  <c r="I421" i="2"/>
  <c r="J420" i="2"/>
  <c r="I420" i="2"/>
  <c r="J419" i="2"/>
  <c r="I419" i="2"/>
  <c r="J418" i="2"/>
  <c r="I418" i="2"/>
  <c r="J417" i="2"/>
  <c r="I417" i="2"/>
  <c r="J416" i="2"/>
  <c r="I416" i="2"/>
  <c r="J415" i="2"/>
  <c r="J414" i="2"/>
  <c r="J413" i="2"/>
  <c r="J412" i="2"/>
  <c r="N410" i="2"/>
  <c r="N409" i="2"/>
  <c r="N408" i="2"/>
  <c r="N407" i="2"/>
  <c r="N406" i="2"/>
  <c r="L406" i="2"/>
  <c r="N405" i="2"/>
  <c r="L405" i="2"/>
  <c r="O405" i="2" s="1"/>
  <c r="N404" i="2"/>
  <c r="L404" i="2"/>
  <c r="N403" i="2"/>
  <c r="L403" i="2"/>
  <c r="O403" i="2" s="1"/>
  <c r="J402" i="2"/>
  <c r="I402" i="2"/>
  <c r="N401" i="2"/>
  <c r="L401" i="2"/>
  <c r="J401" i="2"/>
  <c r="I401" i="2"/>
  <c r="J400" i="2"/>
  <c r="J399" i="2"/>
  <c r="J398" i="2"/>
  <c r="I398" i="2"/>
  <c r="J397" i="2"/>
  <c r="I397" i="2"/>
  <c r="J396" i="2"/>
  <c r="I396" i="2"/>
  <c r="J394" i="2"/>
  <c r="J393" i="2"/>
  <c r="J392" i="2"/>
  <c r="J391" i="2"/>
  <c r="N389" i="2"/>
  <c r="N388" i="2"/>
  <c r="N387" i="2"/>
  <c r="N386" i="2"/>
  <c r="N385" i="2"/>
  <c r="L385" i="2"/>
  <c r="N384" i="2"/>
  <c r="L384" i="2"/>
  <c r="N383" i="2"/>
  <c r="L383" i="2"/>
  <c r="N382" i="2"/>
  <c r="L382" i="2"/>
  <c r="O382" i="2" s="1"/>
  <c r="J381" i="2"/>
  <c r="I381" i="2"/>
  <c r="N380" i="2"/>
  <c r="L380" i="2"/>
  <c r="J380" i="2"/>
  <c r="I380" i="2"/>
  <c r="J379" i="2"/>
  <c r="J378" i="2"/>
  <c r="J377" i="2"/>
  <c r="I377" i="2"/>
  <c r="K377" i="2" s="1"/>
  <c r="J376" i="2"/>
  <c r="I376" i="2"/>
  <c r="K376" i="2" s="1"/>
  <c r="J375" i="2"/>
  <c r="I375" i="2"/>
  <c r="K375" i="2" s="1"/>
  <c r="J374" i="2"/>
  <c r="I374" i="2"/>
  <c r="J373" i="2"/>
  <c r="I373" i="2"/>
  <c r="K373" i="2" s="1"/>
  <c r="J372" i="2"/>
  <c r="I372" i="2"/>
  <c r="K372" i="2" s="1"/>
  <c r="J371" i="2"/>
  <c r="I371" i="2"/>
  <c r="K371" i="2" s="1"/>
  <c r="J370" i="2"/>
  <c r="I370" i="2"/>
  <c r="K370" i="2" s="1"/>
  <c r="J369" i="2"/>
  <c r="I369" i="2"/>
  <c r="J368" i="2"/>
  <c r="I368" i="2"/>
  <c r="J367" i="2"/>
  <c r="J366" i="2"/>
  <c r="J365" i="2"/>
  <c r="I365" i="2"/>
  <c r="K365" i="2" s="1"/>
  <c r="J364" i="2"/>
  <c r="J363" i="2"/>
  <c r="J362" i="2"/>
  <c r="J361" i="2"/>
  <c r="J360" i="2"/>
  <c r="N358" i="2"/>
  <c r="N357" i="2"/>
  <c r="N356" i="2"/>
  <c r="N355" i="2"/>
  <c r="N354" i="2"/>
  <c r="L354" i="2"/>
  <c r="N353" i="2"/>
  <c r="L353" i="2"/>
  <c r="O353" i="2" s="1"/>
  <c r="N352" i="2"/>
  <c r="L352" i="2"/>
  <c r="O352" i="2" s="1"/>
  <c r="N351" i="2"/>
  <c r="L351" i="2"/>
  <c r="O351" i="2" s="1"/>
  <c r="J350" i="2"/>
  <c r="I350" i="2"/>
  <c r="K350" i="2" s="1"/>
  <c r="N349" i="2"/>
  <c r="L349" i="2"/>
  <c r="O349" i="2" s="1"/>
  <c r="J349" i="2"/>
  <c r="I349" i="2"/>
  <c r="K349" i="2" s="1"/>
  <c r="N347" i="2"/>
  <c r="L347" i="2"/>
  <c r="J346" i="2"/>
  <c r="I346" i="2"/>
  <c r="K346" i="2" s="1"/>
  <c r="J345" i="2"/>
  <c r="I345" i="2"/>
  <c r="J344" i="2"/>
  <c r="I344" i="2"/>
  <c r="J343" i="2"/>
  <c r="I343" i="2"/>
  <c r="J342" i="2"/>
  <c r="I342" i="2"/>
  <c r="K342" i="2" s="1"/>
  <c r="J341" i="2"/>
  <c r="I341" i="2"/>
  <c r="J340" i="2"/>
  <c r="I340" i="2"/>
  <c r="J339" i="2"/>
  <c r="I339" i="2"/>
  <c r="K339" i="2" s="1"/>
  <c r="N337" i="2"/>
  <c r="L337" i="2"/>
  <c r="L335" i="2"/>
  <c r="L334" i="2"/>
  <c r="N333" i="2"/>
  <c r="M333" i="2"/>
  <c r="O332" i="2"/>
  <c r="P330" i="2"/>
  <c r="N330" i="2"/>
  <c r="M330" i="2"/>
  <c r="L330" i="2"/>
  <c r="O330" i="2" s="1"/>
  <c r="J328" i="2"/>
  <c r="I328" i="2"/>
  <c r="J326" i="2"/>
  <c r="J325" i="2"/>
  <c r="J324" i="2"/>
  <c r="I324" i="2"/>
  <c r="J323" i="2"/>
  <c r="J322" i="2"/>
  <c r="J321" i="2"/>
  <c r="J320" i="2"/>
  <c r="N318" i="2"/>
  <c r="L318" i="2"/>
  <c r="L316" i="2"/>
  <c r="L315" i="2"/>
  <c r="N314" i="2"/>
  <c r="M314" i="2"/>
  <c r="O313" i="2"/>
  <c r="P311" i="2"/>
  <c r="N311" i="2"/>
  <c r="M311" i="2"/>
  <c r="L311" i="2"/>
  <c r="O311" i="2" s="1"/>
  <c r="J309" i="2"/>
  <c r="I309" i="2"/>
  <c r="J308" i="2"/>
  <c r="J307" i="2"/>
  <c r="J306" i="2"/>
  <c r="I306" i="2"/>
  <c r="J304" i="2"/>
  <c r="I304" i="2"/>
  <c r="J303" i="2"/>
  <c r="J302" i="2"/>
  <c r="J301" i="2"/>
  <c r="J300" i="2"/>
  <c r="N298" i="2"/>
  <c r="L298" i="2"/>
  <c r="L296" i="2"/>
  <c r="L295" i="2"/>
  <c r="N294" i="2"/>
  <c r="M294" i="2"/>
  <c r="O293" i="2"/>
  <c r="P291" i="2"/>
  <c r="O291" i="2"/>
  <c r="N291" i="2"/>
  <c r="M291" i="2"/>
  <c r="L291" i="2"/>
  <c r="J289" i="2"/>
  <c r="I289" i="2"/>
  <c r="J287" i="2"/>
  <c r="J286" i="2"/>
  <c r="J285" i="2"/>
  <c r="I285" i="2"/>
  <c r="K285" i="2" s="1"/>
  <c r="J284" i="2"/>
  <c r="J283" i="2"/>
  <c r="J282" i="2"/>
  <c r="J281" i="2"/>
  <c r="N279" i="2"/>
  <c r="L279" i="2"/>
  <c r="L277" i="2"/>
  <c r="L276" i="2"/>
  <c r="N275" i="2"/>
  <c r="M275" i="2"/>
  <c r="M273" i="2" s="1"/>
  <c r="P273" i="2" s="1"/>
  <c r="O274" i="2"/>
  <c r="O272" i="2"/>
  <c r="N272" i="2"/>
  <c r="M272" i="2"/>
  <c r="P272" i="2" s="1"/>
  <c r="L272" i="2"/>
  <c r="J270" i="2"/>
  <c r="I270" i="2"/>
  <c r="J269" i="2"/>
  <c r="J268" i="2"/>
  <c r="J267" i="2"/>
  <c r="I267" i="2"/>
  <c r="K267" i="2" s="1"/>
  <c r="J266" i="2"/>
  <c r="I266" i="2"/>
  <c r="K266" i="2" s="1"/>
  <c r="J265" i="2"/>
  <c r="I265" i="2"/>
  <c r="K265" i="2" s="1"/>
  <c r="J264" i="2"/>
  <c r="I264" i="2"/>
  <c r="K264" i="2" s="1"/>
  <c r="J263" i="2"/>
  <c r="J262" i="2"/>
  <c r="J261" i="2"/>
  <c r="J260" i="2"/>
  <c r="N258" i="2"/>
  <c r="L258" i="2"/>
  <c r="O258" i="2" s="1"/>
  <c r="L256" i="2"/>
  <c r="L255" i="2"/>
  <c r="N254" i="2"/>
  <c r="M254" i="2"/>
  <c r="P254" i="2" s="1"/>
  <c r="O253" i="2"/>
  <c r="P251" i="2"/>
  <c r="N251" i="2"/>
  <c r="M251" i="2"/>
  <c r="L251" i="2"/>
  <c r="O251" i="2" s="1"/>
  <c r="J249" i="2"/>
  <c r="I249" i="2"/>
  <c r="K249" i="2" s="1"/>
  <c r="J246" i="2"/>
  <c r="J245" i="2"/>
  <c r="J244" i="2"/>
  <c r="I244" i="2"/>
  <c r="K244" i="2" s="1"/>
  <c r="J243" i="2"/>
  <c r="J242" i="2"/>
  <c r="J241" i="2"/>
  <c r="J240" i="2"/>
  <c r="J238" i="2"/>
  <c r="I238" i="2"/>
  <c r="J237" i="2"/>
  <c r="J236" i="2"/>
  <c r="J235" i="2"/>
  <c r="I235" i="2"/>
  <c r="J234" i="2"/>
  <c r="J233" i="2"/>
  <c r="J232" i="2"/>
  <c r="J231" i="2"/>
  <c r="J229" i="2"/>
  <c r="I229" i="2"/>
  <c r="N228" i="2"/>
  <c r="L228" i="2"/>
  <c r="O228" i="2" s="1"/>
  <c r="L226" i="2"/>
  <c r="L225" i="2"/>
  <c r="N224" i="2"/>
  <c r="M224" i="2"/>
  <c r="O223" i="2"/>
  <c r="N221" i="2"/>
  <c r="M221" i="2"/>
  <c r="L221" i="2"/>
  <c r="O221" i="2" s="1"/>
  <c r="J219" i="2"/>
  <c r="I219" i="2"/>
  <c r="J218" i="2"/>
  <c r="J217" i="2"/>
  <c r="J216" i="2"/>
  <c r="I216" i="2"/>
  <c r="K216" i="2" s="1"/>
  <c r="J215" i="2"/>
  <c r="I215" i="2"/>
  <c r="K215" i="2" s="1"/>
  <c r="J213" i="2"/>
  <c r="I213" i="2"/>
  <c r="K213" i="2" s="1"/>
  <c r="J212" i="2"/>
  <c r="J211" i="2"/>
  <c r="J210" i="2"/>
  <c r="J209" i="2"/>
  <c r="J204" i="2"/>
  <c r="I204" i="2"/>
  <c r="K204" i="2" s="1"/>
  <c r="J203" i="2"/>
  <c r="J202" i="2"/>
  <c r="J201" i="2"/>
  <c r="I201" i="2"/>
  <c r="J200" i="2"/>
  <c r="I200" i="2"/>
  <c r="J199" i="2"/>
  <c r="I199" i="2"/>
  <c r="J197" i="2"/>
  <c r="J196" i="2"/>
  <c r="J195" i="2"/>
  <c r="J194" i="2"/>
  <c r="J189" i="2"/>
  <c r="I189" i="2"/>
  <c r="J188" i="2"/>
  <c r="J187" i="2"/>
  <c r="J186" i="2"/>
  <c r="I186" i="2"/>
  <c r="K186" i="2" s="1"/>
  <c r="J185" i="2"/>
  <c r="I185" i="2"/>
  <c r="K185" i="2" s="1"/>
  <c r="J184" i="2"/>
  <c r="J183" i="2"/>
  <c r="J182" i="2"/>
  <c r="J181" i="2"/>
  <c r="J176" i="2"/>
  <c r="I176" i="2"/>
  <c r="K176" i="2" s="1"/>
  <c r="J175" i="2"/>
  <c r="J174" i="2"/>
  <c r="J173" i="2"/>
  <c r="I173" i="2"/>
  <c r="J172" i="2"/>
  <c r="J171" i="2"/>
  <c r="J170" i="2"/>
  <c r="J169" i="2"/>
  <c r="J164" i="2"/>
  <c r="I164" i="2"/>
  <c r="J163" i="2"/>
  <c r="J162" i="2"/>
  <c r="J161" i="2"/>
  <c r="J160" i="2"/>
  <c r="J159" i="2"/>
  <c r="J158" i="2"/>
  <c r="I158" i="2"/>
  <c r="J157" i="2"/>
  <c r="J156" i="2"/>
  <c r="J155" i="2"/>
  <c r="J154" i="2"/>
  <c r="J149" i="2"/>
  <c r="I149" i="2"/>
  <c r="N148" i="2"/>
  <c r="L148" i="2"/>
  <c r="L146" i="2"/>
  <c r="L145" i="2"/>
  <c r="N144" i="2"/>
  <c r="M144" i="2"/>
  <c r="O143" i="2"/>
  <c r="P141" i="2"/>
  <c r="N141" i="2"/>
  <c r="M141" i="2"/>
  <c r="L141" i="2"/>
  <c r="O141" i="2" s="1"/>
  <c r="J138" i="2"/>
  <c r="I138" i="2"/>
  <c r="J135" i="2"/>
  <c r="J134" i="2"/>
  <c r="J133" i="2"/>
  <c r="I133" i="2"/>
  <c r="K133" i="2" s="1"/>
  <c r="J132" i="2"/>
  <c r="I132" i="2"/>
  <c r="K132" i="2" s="1"/>
  <c r="J131" i="2"/>
  <c r="J130" i="2"/>
  <c r="J129" i="2"/>
  <c r="J128" i="2"/>
  <c r="N126" i="2"/>
  <c r="L126" i="2"/>
  <c r="O126" i="2" s="1"/>
  <c r="L124" i="2"/>
  <c r="L123" i="2"/>
  <c r="N122" i="2"/>
  <c r="M122" i="2"/>
  <c r="P122" i="2" s="1"/>
  <c r="O121" i="2"/>
  <c r="O119" i="2"/>
  <c r="N119" i="2"/>
  <c r="M119" i="2"/>
  <c r="P119" i="2" s="1"/>
  <c r="L119" i="2"/>
  <c r="J117" i="2"/>
  <c r="I117" i="2"/>
  <c r="K117" i="2" s="1"/>
  <c r="J115" i="2"/>
  <c r="J114" i="2"/>
  <c r="J113" i="2"/>
  <c r="I113" i="2"/>
  <c r="J112" i="2"/>
  <c r="I112" i="2"/>
  <c r="K112" i="2" s="1"/>
  <c r="J111" i="2"/>
  <c r="I111" i="2"/>
  <c r="K111" i="2" s="1"/>
  <c r="J110" i="2"/>
  <c r="I110" i="2"/>
  <c r="K110" i="2" s="1"/>
  <c r="J109" i="2"/>
  <c r="I109" i="2"/>
  <c r="K109" i="2" s="1"/>
  <c r="J108" i="2"/>
  <c r="I108" i="2"/>
  <c r="K108" i="2" s="1"/>
  <c r="J107" i="2"/>
  <c r="J106" i="2"/>
  <c r="J105" i="2"/>
  <c r="J104" i="2"/>
  <c r="N102" i="2"/>
  <c r="L102" i="2"/>
  <c r="O102" i="2" s="1"/>
  <c r="L100" i="2"/>
  <c r="L99" i="2"/>
  <c r="N98" i="2"/>
  <c r="M98" i="2"/>
  <c r="M96" i="2" s="1"/>
  <c r="P96" i="2" s="1"/>
  <c r="O97" i="2"/>
  <c r="N95" i="2"/>
  <c r="M95" i="2"/>
  <c r="P95" i="2" s="1"/>
  <c r="L95" i="2"/>
  <c r="J93" i="2"/>
  <c r="I93" i="2"/>
  <c r="K93" i="2" s="1"/>
  <c r="J92" i="2"/>
  <c r="I92" i="2"/>
  <c r="K92" i="2" s="1"/>
  <c r="J90" i="2"/>
  <c r="J89" i="2"/>
  <c r="J88" i="2"/>
  <c r="I88" i="2"/>
  <c r="K88" i="2" s="1"/>
  <c r="J87" i="2"/>
  <c r="I87" i="2"/>
  <c r="K87" i="2" s="1"/>
  <c r="J86" i="2"/>
  <c r="I86" i="2"/>
  <c r="K86" i="2" s="1"/>
  <c r="J85" i="2"/>
  <c r="I85" i="2"/>
  <c r="J84" i="2"/>
  <c r="I84" i="2"/>
  <c r="J83" i="2"/>
  <c r="I83" i="2"/>
  <c r="K83" i="2" s="1"/>
  <c r="J82" i="2"/>
  <c r="I82" i="2"/>
  <c r="K82" i="2" s="1"/>
  <c r="J81" i="2"/>
  <c r="I81" i="2"/>
  <c r="J80" i="2"/>
  <c r="I80" i="2"/>
  <c r="J79" i="2"/>
  <c r="J78" i="2"/>
  <c r="J77" i="2"/>
  <c r="J76" i="2"/>
  <c r="N74" i="2"/>
  <c r="L74" i="2"/>
  <c r="L72" i="2"/>
  <c r="L71" i="2"/>
  <c r="N70" i="2"/>
  <c r="M70" i="2"/>
  <c r="M68" i="2" s="1"/>
  <c r="O69" i="2"/>
  <c r="O67" i="2"/>
  <c r="N67" i="2"/>
  <c r="M67" i="2"/>
  <c r="P67" i="2" s="1"/>
  <c r="L67" i="2"/>
  <c r="J65" i="2"/>
  <c r="I65" i="2"/>
  <c r="J64" i="2"/>
  <c r="I64" i="2"/>
  <c r="N61" i="2"/>
  <c r="L61" i="2"/>
  <c r="O61" i="2" s="1"/>
  <c r="L59" i="2"/>
  <c r="L58" i="2"/>
  <c r="N57" i="2"/>
  <c r="M57" i="2"/>
  <c r="M55" i="2" s="1"/>
  <c r="P54" i="2"/>
  <c r="N54" i="2"/>
  <c r="M54" i="2"/>
  <c r="L54" i="2"/>
  <c r="O54" i="2" s="1"/>
  <c r="N49" i="2"/>
  <c r="L49" i="2"/>
  <c r="O49" i="2" s="1"/>
  <c r="L47" i="2"/>
  <c r="L46" i="2"/>
  <c r="N45" i="2"/>
  <c r="M45" i="2"/>
  <c r="O42" i="2"/>
  <c r="N42" i="2"/>
  <c r="M42" i="2"/>
  <c r="P42" i="2" s="1"/>
  <c r="L42" i="2"/>
  <c r="P36" i="2"/>
  <c r="O36" i="2"/>
  <c r="P35" i="2"/>
  <c r="O35" i="2"/>
  <c r="P34" i="2"/>
  <c r="M34" i="2"/>
  <c r="M33" i="2"/>
  <c r="P33" i="2" s="1"/>
  <c r="P32" i="2"/>
  <c r="M32" i="2"/>
  <c r="M30" i="2" s="1"/>
  <c r="P30" i="2" s="1"/>
  <c r="M31" i="2"/>
  <c r="P31" i="2" s="1"/>
  <c r="P25" i="2"/>
  <c r="O25" i="2"/>
  <c r="N25" i="2"/>
  <c r="N15" i="2" s="1"/>
  <c r="M25" i="2"/>
  <c r="M19" i="2" s="1"/>
  <c r="L25" i="2"/>
  <c r="N24" i="2"/>
  <c r="M24" i="2"/>
  <c r="P24" i="2" s="1"/>
  <c r="P23" i="2"/>
  <c r="N23" i="2"/>
  <c r="M23" i="2"/>
  <c r="P21" i="2"/>
  <c r="N21" i="2"/>
  <c r="N19" i="2" s="1"/>
  <c r="M21" i="2"/>
  <c r="L21" i="2"/>
  <c r="L19" i="2" s="1"/>
  <c r="O15" i="2"/>
  <c r="M15" i="2"/>
  <c r="P15" i="2" s="1"/>
  <c r="L15" i="2"/>
  <c r="M13" i="2"/>
  <c r="P13" i="2" s="1"/>
  <c r="I548" i="1"/>
  <c r="K548" i="1" s="1"/>
  <c r="I365" i="1"/>
  <c r="K365" i="1" s="1"/>
  <c r="L336" i="1"/>
  <c r="N332" i="1"/>
  <c r="M332" i="1"/>
  <c r="L332" i="1"/>
  <c r="O332" i="1" s="1"/>
  <c r="P330" i="1"/>
  <c r="N330" i="1"/>
  <c r="M330" i="1"/>
  <c r="L330" i="1"/>
  <c r="O330" i="1" s="1"/>
  <c r="L317" i="1"/>
  <c r="O313" i="1"/>
  <c r="N313" i="1"/>
  <c r="M313" i="1"/>
  <c r="L313" i="1"/>
  <c r="P311" i="1"/>
  <c r="N311" i="1"/>
  <c r="M311" i="1"/>
  <c r="L311" i="1"/>
  <c r="O311" i="1" s="1"/>
  <c r="J307" i="1"/>
  <c r="L297" i="1"/>
  <c r="N293" i="1"/>
  <c r="M293" i="1"/>
  <c r="L293" i="1"/>
  <c r="O293" i="1" s="1"/>
  <c r="P291" i="1"/>
  <c r="O291" i="1"/>
  <c r="N291" i="1"/>
  <c r="M291" i="1"/>
  <c r="L291" i="1"/>
  <c r="L278" i="1"/>
  <c r="O274" i="1"/>
  <c r="N274" i="1"/>
  <c r="M274" i="1"/>
  <c r="L274" i="1"/>
  <c r="N272" i="1"/>
  <c r="M272" i="1"/>
  <c r="P272" i="1" s="1"/>
  <c r="L272" i="1"/>
  <c r="O272" i="1" s="1"/>
  <c r="L257" i="1"/>
  <c r="N253" i="1"/>
  <c r="M253" i="1"/>
  <c r="L253" i="1"/>
  <c r="O253" i="1" s="1"/>
  <c r="P251" i="1"/>
  <c r="O251" i="1"/>
  <c r="N251" i="1"/>
  <c r="M251" i="1"/>
  <c r="L251" i="1"/>
  <c r="J240" i="1"/>
  <c r="L227" i="1"/>
  <c r="O223" i="1"/>
  <c r="N223" i="1"/>
  <c r="M223" i="1"/>
  <c r="L223" i="1"/>
  <c r="N221" i="1"/>
  <c r="L221" i="1"/>
  <c r="O221" i="1" s="1"/>
  <c r="J214" i="1"/>
  <c r="I214" i="1"/>
  <c r="J198" i="1"/>
  <c r="I175" i="1"/>
  <c r="I174" i="1"/>
  <c r="I172" i="1"/>
  <c r="I171" i="1"/>
  <c r="I170" i="1"/>
  <c r="L147" i="1"/>
  <c r="O143" i="1"/>
  <c r="N143" i="1"/>
  <c r="M143" i="1"/>
  <c r="L143" i="1"/>
  <c r="P141" i="1"/>
  <c r="O141" i="1"/>
  <c r="N141" i="1"/>
  <c r="M141" i="1"/>
  <c r="L141" i="1"/>
  <c r="L125" i="1"/>
  <c r="O121" i="1"/>
  <c r="N121" i="1"/>
  <c r="M121" i="1"/>
  <c r="L121" i="1"/>
  <c r="N119" i="1"/>
  <c r="M119" i="1"/>
  <c r="P119" i="1" s="1"/>
  <c r="L119" i="1"/>
  <c r="O119" i="1" s="1"/>
  <c r="L101" i="1"/>
  <c r="O97" i="1"/>
  <c r="N97" i="1"/>
  <c r="N21" i="1" s="1"/>
  <c r="M97" i="1"/>
  <c r="L97" i="1"/>
  <c r="P95" i="1"/>
  <c r="N95" i="1"/>
  <c r="M95" i="1"/>
  <c r="L73" i="1"/>
  <c r="O69" i="1"/>
  <c r="N69" i="1"/>
  <c r="M69" i="1"/>
  <c r="L69" i="1"/>
  <c r="N67" i="1"/>
  <c r="M67" i="1"/>
  <c r="P67" i="1" s="1"/>
  <c r="L67" i="1"/>
  <c r="O67" i="1" s="1"/>
  <c r="L60" i="1"/>
  <c r="L25" i="1" s="1"/>
  <c r="L56" i="1"/>
  <c r="L54" i="1" s="1"/>
  <c r="N54" i="1"/>
  <c r="M54" i="1"/>
  <c r="P54" i="1" s="1"/>
  <c r="L48" i="1"/>
  <c r="L44" i="1"/>
  <c r="L42" i="1" s="1"/>
  <c r="N42" i="1"/>
  <c r="M42" i="1"/>
  <c r="P42" i="1" s="1"/>
  <c r="P36" i="1"/>
  <c r="N36" i="1"/>
  <c r="L36" i="1"/>
  <c r="O36" i="1" s="1"/>
  <c r="P35" i="1"/>
  <c r="O35" i="1"/>
  <c r="P34" i="1"/>
  <c r="M34" i="1"/>
  <c r="M33" i="1"/>
  <c r="P33" i="1" s="1"/>
  <c r="M32" i="1"/>
  <c r="P32" i="1" s="1"/>
  <c r="P31" i="1"/>
  <c r="M31" i="1"/>
  <c r="P29" i="1"/>
  <c r="M29" i="1"/>
  <c r="P25" i="1"/>
  <c r="N25" i="1"/>
  <c r="M25" i="1"/>
  <c r="N24" i="1"/>
  <c r="M24" i="1"/>
  <c r="P24" i="1" s="1"/>
  <c r="N23" i="1"/>
  <c r="M23" i="1"/>
  <c r="P23" i="1" s="1"/>
  <c r="M21" i="1"/>
  <c r="P21" i="1" s="1"/>
  <c r="L21" i="1"/>
  <c r="M19" i="1"/>
  <c r="P19" i="1" s="1"/>
  <c r="N15" i="1"/>
  <c r="M15" i="1"/>
  <c r="P15" i="1" s="1"/>
  <c r="P11" i="1"/>
  <c r="M11" i="1"/>
  <c r="K423" i="6" l="1"/>
  <c r="K431" i="6"/>
  <c r="K380" i="9"/>
  <c r="K435" i="9"/>
  <c r="K630" i="15"/>
  <c r="K564" i="15"/>
  <c r="K573" i="15"/>
  <c r="K628" i="15"/>
  <c r="K635" i="11"/>
  <c r="O435" i="12"/>
  <c r="K630" i="12"/>
  <c r="K370" i="13"/>
  <c r="K450" i="13"/>
  <c r="K455" i="13"/>
  <c r="K464" i="13"/>
  <c r="K164" i="15"/>
  <c r="K634" i="15"/>
  <c r="N55" i="13"/>
  <c r="N53" i="13" s="1"/>
  <c r="K564" i="13"/>
  <c r="K630" i="4"/>
  <c r="K533" i="15"/>
  <c r="O564" i="15"/>
  <c r="K629" i="15"/>
  <c r="K635" i="15"/>
  <c r="O597" i="2"/>
  <c r="O601" i="2"/>
  <c r="K631" i="2"/>
  <c r="K635" i="2"/>
  <c r="N120" i="12"/>
  <c r="N118" i="12" s="1"/>
  <c r="K597" i="9"/>
  <c r="K630" i="9"/>
  <c r="K597" i="3"/>
  <c r="K112" i="5"/>
  <c r="K219" i="5"/>
  <c r="K618" i="5"/>
  <c r="K219" i="15"/>
  <c r="K573" i="2"/>
  <c r="K86" i="3"/>
  <c r="O597" i="5"/>
  <c r="K631" i="5"/>
  <c r="K635" i="5"/>
  <c r="K377" i="8"/>
  <c r="K381" i="8"/>
  <c r="O566" i="8"/>
  <c r="O404" i="7"/>
  <c r="K628" i="8"/>
  <c r="L224" i="9"/>
  <c r="L222" i="9" s="1"/>
  <c r="I522" i="1"/>
  <c r="N142" i="3"/>
  <c r="N140" i="3" s="1"/>
  <c r="N222" i="3"/>
  <c r="N220" i="3" s="1"/>
  <c r="N120" i="5"/>
  <c r="N118" i="5" s="1"/>
  <c r="P45" i="9"/>
  <c r="J85" i="1"/>
  <c r="I423" i="1"/>
  <c r="K431" i="2"/>
  <c r="L435" i="1"/>
  <c r="K176" i="3"/>
  <c r="K626" i="6"/>
  <c r="P45" i="11"/>
  <c r="L122" i="11"/>
  <c r="L120" i="11" s="1"/>
  <c r="O120" i="11" s="1"/>
  <c r="K328" i="12"/>
  <c r="N331" i="12"/>
  <c r="N329" i="12" s="1"/>
  <c r="O568" i="12"/>
  <c r="O599" i="12"/>
  <c r="K428" i="13"/>
  <c r="K398" i="14"/>
  <c r="K402" i="14"/>
  <c r="O406" i="14"/>
  <c r="K419" i="14"/>
  <c r="K431" i="14"/>
  <c r="O435" i="14"/>
  <c r="K265" i="15"/>
  <c r="K306" i="15"/>
  <c r="P122" i="15"/>
  <c r="J366" i="1"/>
  <c r="J81" i="1"/>
  <c r="J155" i="1"/>
  <c r="I173" i="1"/>
  <c r="N382" i="1"/>
  <c r="J421" i="1"/>
  <c r="J425" i="1"/>
  <c r="J429" i="1"/>
  <c r="N437" i="1"/>
  <c r="N443" i="1"/>
  <c r="J450" i="1"/>
  <c r="N96" i="13"/>
  <c r="N94" i="13" s="1"/>
  <c r="N74" i="1"/>
  <c r="I396" i="1"/>
  <c r="P45" i="3"/>
  <c r="K64" i="3"/>
  <c r="J413" i="1"/>
  <c r="J446" i="1"/>
  <c r="N459" i="1"/>
  <c r="N273" i="6"/>
  <c r="N271" i="6" s="1"/>
  <c r="J114" i="1"/>
  <c r="K629" i="6"/>
  <c r="M292" i="12"/>
  <c r="P292" i="12" s="1"/>
  <c r="K498" i="15"/>
  <c r="N312" i="5"/>
  <c r="N310" i="5" s="1"/>
  <c r="K149" i="8"/>
  <c r="I367" i="8"/>
  <c r="K367" i="8" s="1"/>
  <c r="N68" i="14"/>
  <c r="N252" i="3"/>
  <c r="N250" i="3" s="1"/>
  <c r="J423" i="1"/>
  <c r="K613" i="3"/>
  <c r="J88" i="1"/>
  <c r="K423" i="4"/>
  <c r="K427" i="4"/>
  <c r="L294" i="7"/>
  <c r="O294" i="7" s="1"/>
  <c r="K340" i="12"/>
  <c r="J163" i="1"/>
  <c r="J184" i="1"/>
  <c r="J500" i="1"/>
  <c r="J520" i="1"/>
  <c r="J578" i="1"/>
  <c r="L224" i="5"/>
  <c r="L222" i="5" s="1"/>
  <c r="K350" i="7"/>
  <c r="I531" i="1"/>
  <c r="N142" i="11"/>
  <c r="N140" i="11" s="1"/>
  <c r="N68" i="12"/>
  <c r="N66" i="12" s="1"/>
  <c r="K497" i="15"/>
  <c r="J300" i="1"/>
  <c r="K368" i="3"/>
  <c r="K381" i="4"/>
  <c r="K416" i="4"/>
  <c r="K428" i="4"/>
  <c r="K401" i="6"/>
  <c r="J475" i="1"/>
  <c r="K474" i="8"/>
  <c r="K482" i="8"/>
  <c r="K65" i="9"/>
  <c r="I419" i="1"/>
  <c r="O599" i="13"/>
  <c r="K629" i="13"/>
  <c r="J185" i="1"/>
  <c r="J391" i="1"/>
  <c r="K533" i="5"/>
  <c r="I629" i="1"/>
  <c r="L122" i="6"/>
  <c r="O122" i="6" s="1"/>
  <c r="J173" i="1"/>
  <c r="K349" i="7"/>
  <c r="N68" i="8"/>
  <c r="N66" i="8" s="1"/>
  <c r="N252" i="10"/>
  <c r="N250" i="10" s="1"/>
  <c r="N43" i="15"/>
  <c r="N41" i="15" s="1"/>
  <c r="N68" i="15"/>
  <c r="N66" i="15" s="1"/>
  <c r="L122" i="15"/>
  <c r="L120" i="15" s="1"/>
  <c r="N349" i="1"/>
  <c r="I427" i="1"/>
  <c r="K84" i="2"/>
  <c r="K264" i="4"/>
  <c r="I626" i="1"/>
  <c r="J376" i="1"/>
  <c r="N384" i="1"/>
  <c r="N406" i="1"/>
  <c r="J415" i="1"/>
  <c r="J419" i="1"/>
  <c r="J427" i="1"/>
  <c r="J431" i="1"/>
  <c r="N439" i="1"/>
  <c r="J490" i="1"/>
  <c r="J596" i="1"/>
  <c r="J65" i="1"/>
  <c r="L333" i="6"/>
  <c r="O333" i="6" s="1"/>
  <c r="K345" i="6"/>
  <c r="O380" i="9"/>
  <c r="O406" i="9"/>
  <c r="K419" i="9"/>
  <c r="K423" i="9"/>
  <c r="J550" i="1"/>
  <c r="I589" i="1"/>
  <c r="O535" i="14"/>
  <c r="I625" i="1"/>
  <c r="J129" i="1"/>
  <c r="J135" i="1"/>
  <c r="M312" i="14"/>
  <c r="P312" i="14" s="1"/>
  <c r="L382" i="1"/>
  <c r="O382" i="1" s="1"/>
  <c r="I514" i="1"/>
  <c r="K514" i="1" s="1"/>
  <c r="L254" i="3"/>
  <c r="O254" i="3" s="1"/>
  <c r="J614" i="1"/>
  <c r="N43" i="4"/>
  <c r="N41" i="4" s="1"/>
  <c r="P41" i="4" s="1"/>
  <c r="L57" i="4"/>
  <c r="L55" i="4" s="1"/>
  <c r="I112" i="1"/>
  <c r="J159" i="1"/>
  <c r="K377" i="9"/>
  <c r="K381" i="9"/>
  <c r="O385" i="9"/>
  <c r="I428" i="1"/>
  <c r="N570" i="1"/>
  <c r="J580" i="1"/>
  <c r="J593" i="1"/>
  <c r="L294" i="10"/>
  <c r="O294" i="10" s="1"/>
  <c r="L314" i="10"/>
  <c r="O314" i="10" s="1"/>
  <c r="O385" i="11"/>
  <c r="K416" i="11"/>
  <c r="K424" i="11"/>
  <c r="J468" i="1"/>
  <c r="J349" i="1"/>
  <c r="I426" i="1"/>
  <c r="J516" i="1"/>
  <c r="J622" i="1"/>
  <c r="O347" i="3"/>
  <c r="J364" i="1"/>
  <c r="J471" i="1"/>
  <c r="J479" i="1"/>
  <c r="K499" i="3"/>
  <c r="L294" i="4"/>
  <c r="O294" i="4" s="1"/>
  <c r="K189" i="5"/>
  <c r="K200" i="5"/>
  <c r="M275" i="1"/>
  <c r="J339" i="1"/>
  <c r="J343" i="1"/>
  <c r="N351" i="1"/>
  <c r="N356" i="1"/>
  <c r="N386" i="1"/>
  <c r="L404" i="1"/>
  <c r="J491" i="1"/>
  <c r="J495" i="1"/>
  <c r="J499" i="1"/>
  <c r="J503" i="1"/>
  <c r="J507" i="1"/>
  <c r="I200" i="1"/>
  <c r="I93" i="1"/>
  <c r="J445" i="1"/>
  <c r="I204" i="1"/>
  <c r="K450" i="2"/>
  <c r="K455" i="2"/>
  <c r="J234" i="1"/>
  <c r="J241" i="1"/>
  <c r="J249" i="1"/>
  <c r="J267" i="1"/>
  <c r="N292" i="3"/>
  <c r="N290" i="3" s="1"/>
  <c r="K455" i="3"/>
  <c r="K464" i="3"/>
  <c r="K635" i="3"/>
  <c r="K370" i="4"/>
  <c r="J270" i="1"/>
  <c r="L276" i="1"/>
  <c r="J341" i="1"/>
  <c r="I398" i="1"/>
  <c r="N460" i="1"/>
  <c r="J532" i="1"/>
  <c r="J64" i="1"/>
  <c r="K229" i="6"/>
  <c r="K628" i="6"/>
  <c r="O347" i="7"/>
  <c r="L254" i="8"/>
  <c r="O254" i="8" s="1"/>
  <c r="K345" i="8"/>
  <c r="O597" i="8"/>
  <c r="K631" i="8"/>
  <c r="K635" i="8"/>
  <c r="K350" i="9"/>
  <c r="K372" i="10"/>
  <c r="K401" i="11"/>
  <c r="K564" i="12"/>
  <c r="K573" i="12"/>
  <c r="K614" i="12"/>
  <c r="K219" i="13"/>
  <c r="O380" i="13"/>
  <c r="L57" i="14"/>
  <c r="L55" i="14" s="1"/>
  <c r="L70" i="14"/>
  <c r="L68" i="14" s="1"/>
  <c r="K564" i="14"/>
  <c r="K573" i="14"/>
  <c r="K628" i="14"/>
  <c r="I189" i="1"/>
  <c r="J590" i="1"/>
  <c r="J244" i="1"/>
  <c r="J464" i="1"/>
  <c r="N603" i="1"/>
  <c r="J306" i="1"/>
  <c r="K465" i="8"/>
  <c r="L255" i="1"/>
  <c r="I264" i="1"/>
  <c r="J480" i="1"/>
  <c r="J484" i="1"/>
  <c r="J488" i="1"/>
  <c r="J492" i="1"/>
  <c r="J496" i="1"/>
  <c r="J577" i="1"/>
  <c r="J237" i="1"/>
  <c r="J269" i="1"/>
  <c r="J455" i="1"/>
  <c r="J344" i="1"/>
  <c r="I435" i="1"/>
  <c r="J231" i="1"/>
  <c r="J245" i="1"/>
  <c r="J286" i="1"/>
  <c r="I345" i="1"/>
  <c r="J360" i="1"/>
  <c r="J375" i="1"/>
  <c r="J380" i="1"/>
  <c r="N383" i="1"/>
  <c r="N389" i="1"/>
  <c r="J397" i="1"/>
  <c r="N405" i="1"/>
  <c r="J422" i="1"/>
  <c r="J426" i="1"/>
  <c r="J430" i="1"/>
  <c r="J435" i="1"/>
  <c r="N438" i="1"/>
  <c r="J451" i="1"/>
  <c r="J469" i="1"/>
  <c r="J477" i="1"/>
  <c r="I517" i="1"/>
  <c r="N558" i="1"/>
  <c r="N587" i="1"/>
  <c r="L599" i="1"/>
  <c r="N604" i="1"/>
  <c r="I616" i="1"/>
  <c r="I624" i="1"/>
  <c r="K306" i="3"/>
  <c r="J285" i="1"/>
  <c r="J320" i="1"/>
  <c r="I328" i="1"/>
  <c r="K533" i="6"/>
  <c r="O601" i="9"/>
  <c r="O599" i="11"/>
  <c r="J511" i="1"/>
  <c r="K149" i="15"/>
  <c r="J162" i="1"/>
  <c r="N580" i="1"/>
  <c r="N314" i="1"/>
  <c r="J340" i="1"/>
  <c r="N388" i="1"/>
  <c r="I430" i="1"/>
  <c r="J528" i="1"/>
  <c r="J201" i="1"/>
  <c r="J218" i="1"/>
  <c r="L335" i="1"/>
  <c r="J345" i="1"/>
  <c r="J509" i="1"/>
  <c r="I149" i="1"/>
  <c r="J170" i="1"/>
  <c r="J176" i="1"/>
  <c r="J186" i="1"/>
  <c r="L225" i="1"/>
  <c r="K401" i="5"/>
  <c r="K425" i="5"/>
  <c r="K589" i="5"/>
  <c r="L47" i="1"/>
  <c r="K397" i="7"/>
  <c r="O401" i="7"/>
  <c r="L437" i="1"/>
  <c r="K597" i="14"/>
  <c r="L57" i="15"/>
  <c r="L55" i="15" s="1"/>
  <c r="J594" i="1"/>
  <c r="N458" i="1"/>
  <c r="J82" i="1"/>
  <c r="N298" i="1"/>
  <c r="J524" i="1"/>
  <c r="I596" i="1"/>
  <c r="K596" i="1" s="1"/>
  <c r="L100" i="1"/>
  <c r="J108" i="1"/>
  <c r="J112" i="1"/>
  <c r="K186" i="3"/>
  <c r="N553" i="1"/>
  <c r="N252" i="4"/>
  <c r="N250" i="4" s="1"/>
  <c r="N600" i="1"/>
  <c r="J608" i="1"/>
  <c r="J613" i="1"/>
  <c r="J621" i="1"/>
  <c r="N331" i="9"/>
  <c r="N329" i="9" s="1"/>
  <c r="K613" i="9"/>
  <c r="J515" i="1"/>
  <c r="N292" i="12"/>
  <c r="N290" i="12" s="1"/>
  <c r="N273" i="15"/>
  <c r="N271" i="15" s="1"/>
  <c r="J183" i="1"/>
  <c r="M254" i="1"/>
  <c r="J615" i="1"/>
  <c r="J77" i="1"/>
  <c r="I465" i="1"/>
  <c r="I108" i="1"/>
  <c r="I113" i="1"/>
  <c r="J346" i="1"/>
  <c r="J350" i="1"/>
  <c r="N354" i="1"/>
  <c r="J363" i="1"/>
  <c r="I518" i="1"/>
  <c r="I526" i="1"/>
  <c r="I530" i="1"/>
  <c r="L533" i="1"/>
  <c r="J545" i="1"/>
  <c r="L554" i="1"/>
  <c r="O554" i="1" s="1"/>
  <c r="K630" i="3"/>
  <c r="P294" i="4"/>
  <c r="P314" i="4"/>
  <c r="N292" i="6"/>
  <c r="N290" i="6" s="1"/>
  <c r="K381" i="6"/>
  <c r="J454" i="1"/>
  <c r="I519" i="1"/>
  <c r="I523" i="1"/>
  <c r="I527" i="1"/>
  <c r="L534" i="1"/>
  <c r="O534" i="1" s="1"/>
  <c r="K631" i="6"/>
  <c r="L254" i="7"/>
  <c r="O254" i="7" s="1"/>
  <c r="K398" i="7"/>
  <c r="K402" i="7"/>
  <c r="K419" i="7"/>
  <c r="L45" i="8"/>
  <c r="L43" i="8" s="1"/>
  <c r="L41" i="8" s="1"/>
  <c r="N55" i="8"/>
  <c r="N53" i="8" s="1"/>
  <c r="K164" i="9"/>
  <c r="K229" i="9"/>
  <c r="O535" i="10"/>
  <c r="K564" i="10"/>
  <c r="K635" i="10"/>
  <c r="L294" i="11"/>
  <c r="O294" i="11" s="1"/>
  <c r="K380" i="13"/>
  <c r="O566" i="14"/>
  <c r="O601" i="14"/>
  <c r="K238" i="2"/>
  <c r="I238" i="1"/>
  <c r="K238" i="1" s="1"/>
  <c r="L256" i="1"/>
  <c r="O318" i="6"/>
  <c r="L318" i="1"/>
  <c r="K632" i="2"/>
  <c r="I632" i="1"/>
  <c r="M222" i="2"/>
  <c r="M220" i="2" s="1"/>
  <c r="M224" i="1"/>
  <c r="O228" i="3"/>
  <c r="L228" i="1"/>
  <c r="O228" i="1" s="1"/>
  <c r="K244" i="5"/>
  <c r="I244" i="1"/>
  <c r="K244" i="1" s="1"/>
  <c r="N45" i="1"/>
  <c r="L457" i="1"/>
  <c r="N292" i="10"/>
  <c r="N290" i="10" s="1"/>
  <c r="N294" i="1"/>
  <c r="M98" i="1"/>
  <c r="J106" i="1"/>
  <c r="I117" i="1"/>
  <c r="P333" i="4"/>
  <c r="N333" i="1"/>
  <c r="K371" i="4"/>
  <c r="I371" i="1"/>
  <c r="K371" i="1" s="1"/>
  <c r="O405" i="4"/>
  <c r="L405" i="1"/>
  <c r="O405" i="1" s="1"/>
  <c r="O438" i="4"/>
  <c r="L438" i="1"/>
  <c r="O438" i="1" s="1"/>
  <c r="K451" i="4"/>
  <c r="I451" i="1"/>
  <c r="N540" i="1"/>
  <c r="N556" i="1"/>
  <c r="J107" i="1"/>
  <c r="K199" i="9"/>
  <c r="I199" i="1"/>
  <c r="K504" i="4"/>
  <c r="I504" i="1"/>
  <c r="K504" i="1" s="1"/>
  <c r="O582" i="2"/>
  <c r="L582" i="1"/>
  <c r="K186" i="4"/>
  <c r="I186" i="1"/>
  <c r="J260" i="1"/>
  <c r="I266" i="1"/>
  <c r="L122" i="8"/>
  <c r="O122" i="8" s="1"/>
  <c r="O298" i="7"/>
  <c r="L298" i="1"/>
  <c r="J132" i="1"/>
  <c r="O148" i="2"/>
  <c r="L148" i="1"/>
  <c r="O148" i="1" s="1"/>
  <c r="J164" i="1"/>
  <c r="J175" i="1"/>
  <c r="J287" i="1"/>
  <c r="J301" i="1"/>
  <c r="J308" i="1"/>
  <c r="N564" i="1"/>
  <c r="J93" i="1"/>
  <c r="L124" i="1"/>
  <c r="K510" i="3"/>
  <c r="I510" i="1"/>
  <c r="K510" i="1" s="1"/>
  <c r="N462" i="1"/>
  <c r="J518" i="1"/>
  <c r="N533" i="1"/>
  <c r="K496" i="10"/>
  <c r="I496" i="1"/>
  <c r="K496" i="1" s="1"/>
  <c r="K500" i="10"/>
  <c r="I500" i="1"/>
  <c r="K500" i="1" s="1"/>
  <c r="N49" i="1"/>
  <c r="O74" i="2"/>
  <c r="L74" i="1"/>
  <c r="O74" i="1" s="1"/>
  <c r="I81" i="1"/>
  <c r="I85" i="1"/>
  <c r="K373" i="3"/>
  <c r="I373" i="1"/>
  <c r="K373" i="1" s="1"/>
  <c r="I377" i="1"/>
  <c r="I381" i="1"/>
  <c r="O403" i="3"/>
  <c r="L403" i="1"/>
  <c r="O403" i="1" s="1"/>
  <c r="N407" i="1"/>
  <c r="I416" i="1"/>
  <c r="I420" i="1"/>
  <c r="I424" i="1"/>
  <c r="J453" i="1"/>
  <c r="K515" i="12"/>
  <c r="I515" i="1"/>
  <c r="K515" i="1" s="1"/>
  <c r="K424" i="7"/>
  <c r="N538" i="1"/>
  <c r="I547" i="1"/>
  <c r="N455" i="1"/>
  <c r="J465" i="1"/>
  <c r="I473" i="1"/>
  <c r="K573" i="11"/>
  <c r="N148" i="1"/>
  <c r="J158" i="1"/>
  <c r="J169" i="1"/>
  <c r="K631" i="12"/>
  <c r="O352" i="13"/>
  <c r="K173" i="14"/>
  <c r="K328" i="14"/>
  <c r="K341" i="14"/>
  <c r="J452" i="1"/>
  <c r="J466" i="1"/>
  <c r="J470" i="1"/>
  <c r="J174" i="1"/>
  <c r="J89" i="1"/>
  <c r="O568" i="2"/>
  <c r="J373" i="1"/>
  <c r="N408" i="1"/>
  <c r="K430" i="4"/>
  <c r="I109" i="1"/>
  <c r="I401" i="1"/>
  <c r="J76" i="1"/>
  <c r="N102" i="1"/>
  <c r="J109" i="1"/>
  <c r="J196" i="1"/>
  <c r="J202" i="1"/>
  <c r="I219" i="1"/>
  <c r="J372" i="1"/>
  <c r="I87" i="1"/>
  <c r="N98" i="1"/>
  <c r="J111" i="1"/>
  <c r="L122" i="3"/>
  <c r="O122" i="3" s="1"/>
  <c r="K132" i="3"/>
  <c r="J156" i="1"/>
  <c r="J189" i="1"/>
  <c r="J200" i="1"/>
  <c r="J216" i="1"/>
  <c r="I529" i="1"/>
  <c r="I533" i="1"/>
  <c r="N535" i="1"/>
  <c r="J573" i="1"/>
  <c r="N586" i="1"/>
  <c r="I615" i="1"/>
  <c r="J78" i="1"/>
  <c r="K200" i="6"/>
  <c r="K343" i="8"/>
  <c r="O537" i="8"/>
  <c r="N273" i="9"/>
  <c r="N271" i="9" s="1"/>
  <c r="K229" i="10"/>
  <c r="L314" i="11"/>
  <c r="O314" i="11" s="1"/>
  <c r="O406" i="11"/>
  <c r="M252" i="12"/>
  <c r="P252" i="12" s="1"/>
  <c r="P331" i="12"/>
  <c r="K349" i="12"/>
  <c r="K396" i="12"/>
  <c r="J400" i="1"/>
  <c r="K420" i="3"/>
  <c r="J326" i="1"/>
  <c r="I452" i="1"/>
  <c r="K452" i="1" s="1"/>
  <c r="I507" i="1"/>
  <c r="K507" i="1" s="1"/>
  <c r="I620" i="1"/>
  <c r="K113" i="2"/>
  <c r="J128" i="1"/>
  <c r="J134" i="1"/>
  <c r="J149" i="1"/>
  <c r="J160" i="1"/>
  <c r="J171" i="1"/>
  <c r="J181" i="1"/>
  <c r="J197" i="1"/>
  <c r="J514" i="1"/>
  <c r="J522" i="1"/>
  <c r="N537" i="1"/>
  <c r="N554" i="1"/>
  <c r="K624" i="2"/>
  <c r="K629" i="2"/>
  <c r="J633" i="1"/>
  <c r="P333" i="3"/>
  <c r="K340" i="3"/>
  <c r="K138" i="4"/>
  <c r="N292" i="4"/>
  <c r="N290" i="4" s="1"/>
  <c r="J624" i="1"/>
  <c r="K81" i="9"/>
  <c r="K370" i="9"/>
  <c r="K474" i="11"/>
  <c r="K629" i="11"/>
  <c r="P70" i="13"/>
  <c r="K309" i="13"/>
  <c r="P314" i="13"/>
  <c r="L333" i="13"/>
  <c r="L331" i="13" s="1"/>
  <c r="K341" i="13"/>
  <c r="K595" i="13"/>
  <c r="K132" i="14"/>
  <c r="P254" i="15"/>
  <c r="J138" i="1"/>
  <c r="J281" i="1"/>
  <c r="N403" i="1"/>
  <c r="K634" i="6"/>
  <c r="L258" i="1"/>
  <c r="O258" i="1" s="1"/>
  <c r="I306" i="1"/>
  <c r="I431" i="1"/>
  <c r="L31" i="2"/>
  <c r="L29" i="2" s="1"/>
  <c r="O29" i="2" s="1"/>
  <c r="N43" i="2"/>
  <c r="N41" i="2" s="1"/>
  <c r="N463" i="1"/>
  <c r="J467" i="1"/>
  <c r="J487" i="1"/>
  <c r="L33" i="4"/>
  <c r="O33" i="4" s="1"/>
  <c r="N34" i="4"/>
  <c r="N14" i="4" s="1"/>
  <c r="O537" i="5"/>
  <c r="J597" i="1"/>
  <c r="J617" i="1"/>
  <c r="P49" i="6"/>
  <c r="K634" i="7"/>
  <c r="K349" i="8"/>
  <c r="J110" i="1"/>
  <c r="L564" i="1"/>
  <c r="N292" i="13"/>
  <c r="N290" i="13" s="1"/>
  <c r="J195" i="1"/>
  <c r="J212" i="1"/>
  <c r="J289" i="1"/>
  <c r="J325" i="1"/>
  <c r="I343" i="1"/>
  <c r="N385" i="1"/>
  <c r="J449" i="1"/>
  <c r="J283" i="1"/>
  <c r="L102" i="1"/>
  <c r="I486" i="1"/>
  <c r="K486" i="1" s="1"/>
  <c r="I499" i="1"/>
  <c r="I590" i="1"/>
  <c r="K590" i="1" s="1"/>
  <c r="J87" i="1"/>
  <c r="J284" i="1"/>
  <c r="J433" i="1"/>
  <c r="N442" i="1"/>
  <c r="I464" i="1"/>
  <c r="J609" i="1"/>
  <c r="I614" i="1"/>
  <c r="I618" i="1"/>
  <c r="I622" i="1"/>
  <c r="L333" i="3"/>
  <c r="L331" i="3" s="1"/>
  <c r="K380" i="3"/>
  <c r="O535" i="3"/>
  <c r="N57" i="1"/>
  <c r="L144" i="4"/>
  <c r="O144" i="4" s="1"/>
  <c r="J268" i="1"/>
  <c r="N142" i="6"/>
  <c r="N140" i="6" s="1"/>
  <c r="O383" i="7"/>
  <c r="K481" i="7"/>
  <c r="O568" i="9"/>
  <c r="O582" i="9"/>
  <c r="K597" i="11"/>
  <c r="P144" i="12"/>
  <c r="L294" i="13"/>
  <c r="L292" i="13" s="1"/>
  <c r="K343" i="14"/>
  <c r="O347" i="14"/>
  <c r="K340" i="15"/>
  <c r="K349" i="15"/>
  <c r="N122" i="1"/>
  <c r="J217" i="1"/>
  <c r="I528" i="1"/>
  <c r="J369" i="1"/>
  <c r="N441" i="1"/>
  <c r="J236" i="1"/>
  <c r="L294" i="6"/>
  <c r="L292" i="6" s="1"/>
  <c r="L290" i="6" s="1"/>
  <c r="O290" i="6" s="1"/>
  <c r="L61" i="1"/>
  <c r="O61" i="1" s="1"/>
  <c r="M294" i="1"/>
  <c r="L456" i="1"/>
  <c r="O456" i="1" s="1"/>
  <c r="I470" i="1"/>
  <c r="K470" i="1" s="1"/>
  <c r="L565" i="1"/>
  <c r="O565" i="1" s="1"/>
  <c r="P98" i="2"/>
  <c r="N43" i="3"/>
  <c r="N41" i="3" s="1"/>
  <c r="K201" i="4"/>
  <c r="K216" i="5"/>
  <c r="N536" i="1"/>
  <c r="J544" i="1"/>
  <c r="N559" i="1"/>
  <c r="J579" i="1"/>
  <c r="J592" i="1"/>
  <c r="I612" i="1"/>
  <c r="N597" i="1"/>
  <c r="J618" i="1"/>
  <c r="J626" i="1"/>
  <c r="K235" i="8"/>
  <c r="K149" i="10"/>
  <c r="K328" i="10"/>
  <c r="K449" i="13"/>
  <c r="K429" i="14"/>
  <c r="J131" i="1"/>
  <c r="J211" i="1"/>
  <c r="J242" i="1"/>
  <c r="N355" i="1"/>
  <c r="J394" i="1"/>
  <c r="K416" i="3"/>
  <c r="I490" i="1"/>
  <c r="K490" i="1" s="1"/>
  <c r="J229" i="1"/>
  <c r="K380" i="2"/>
  <c r="O383" i="2"/>
  <c r="L459" i="1"/>
  <c r="O459" i="1" s="1"/>
  <c r="J504" i="1"/>
  <c r="J611" i="1"/>
  <c r="J619" i="1"/>
  <c r="J628" i="1"/>
  <c r="J632" i="1"/>
  <c r="K429" i="4"/>
  <c r="K450" i="4"/>
  <c r="K328" i="5"/>
  <c r="O535" i="5"/>
  <c r="K591" i="5"/>
  <c r="K595" i="5"/>
  <c r="K628" i="5"/>
  <c r="K235" i="6"/>
  <c r="L254" i="6"/>
  <c r="O254" i="6" s="1"/>
  <c r="K201" i="7"/>
  <c r="K229" i="7"/>
  <c r="K132" i="8"/>
  <c r="K270" i="8"/>
  <c r="K375" i="8"/>
  <c r="K418" i="8"/>
  <c r="K426" i="8"/>
  <c r="K564" i="8"/>
  <c r="O599" i="9"/>
  <c r="K345" i="10"/>
  <c r="L333" i="11"/>
  <c r="O333" i="11" s="1"/>
  <c r="K345" i="11"/>
  <c r="J561" i="1"/>
  <c r="K634" i="13"/>
  <c r="K341" i="15"/>
  <c r="K345" i="15"/>
  <c r="O349" i="15"/>
  <c r="O551" i="9"/>
  <c r="L551" i="1"/>
  <c r="O551" i="1" s="1"/>
  <c r="M45" i="1"/>
  <c r="J589" i="1"/>
  <c r="J607" i="1"/>
  <c r="I613" i="1"/>
  <c r="I617" i="1"/>
  <c r="I621" i="1"/>
  <c r="L46" i="1"/>
  <c r="I65" i="1"/>
  <c r="O598" i="12"/>
  <c r="L598" i="1"/>
  <c r="O598" i="1" s="1"/>
  <c r="M96" i="13"/>
  <c r="P96" i="13" s="1"/>
  <c r="P98" i="13"/>
  <c r="I86" i="1"/>
  <c r="I133" i="1"/>
  <c r="I265" i="1"/>
  <c r="I339" i="1"/>
  <c r="K339" i="1" s="1"/>
  <c r="L352" i="1"/>
  <c r="I513" i="1"/>
  <c r="K513" i="1" s="1"/>
  <c r="I595" i="1"/>
  <c r="J526" i="1"/>
  <c r="J530" i="1"/>
  <c r="J546" i="1"/>
  <c r="J551" i="1"/>
  <c r="J560" i="1"/>
  <c r="J576" i="1"/>
  <c r="P122" i="11"/>
  <c r="M120" i="11"/>
  <c r="P120" i="11" s="1"/>
  <c r="I479" i="1"/>
  <c r="K479" i="1" s="1"/>
  <c r="I512" i="1"/>
  <c r="K512" i="1" s="1"/>
  <c r="I483" i="1"/>
  <c r="K483" i="1" s="1"/>
  <c r="J210" i="1"/>
  <c r="O553" i="12"/>
  <c r="L553" i="1"/>
  <c r="O553" i="1" s="1"/>
  <c r="I575" i="1"/>
  <c r="K575" i="1" s="1"/>
  <c r="K575" i="12"/>
  <c r="I489" i="1"/>
  <c r="K489" i="1" s="1"/>
  <c r="K613" i="4"/>
  <c r="I611" i="1"/>
  <c r="L347" i="1"/>
  <c r="I472" i="1"/>
  <c r="K472" i="1" s="1"/>
  <c r="L568" i="1"/>
  <c r="L57" i="10"/>
  <c r="O57" i="10" s="1"/>
  <c r="O537" i="10"/>
  <c r="L537" i="1"/>
  <c r="K551" i="10"/>
  <c r="I551" i="1"/>
  <c r="K551" i="1" s="1"/>
  <c r="K560" i="10"/>
  <c r="I560" i="1"/>
  <c r="K560" i="1" s="1"/>
  <c r="O565" i="10"/>
  <c r="L31" i="10"/>
  <c r="L29" i="10" s="1"/>
  <c r="K576" i="10"/>
  <c r="I576" i="1"/>
  <c r="K576" i="1" s="1"/>
  <c r="O583" i="10"/>
  <c r="L583" i="1"/>
  <c r="O583" i="1" s="1"/>
  <c r="K633" i="10"/>
  <c r="I633" i="1"/>
  <c r="O456" i="12"/>
  <c r="L31" i="12"/>
  <c r="O31" i="12" s="1"/>
  <c r="K592" i="13"/>
  <c r="I592" i="1"/>
  <c r="K592" i="1" s="1"/>
  <c r="L49" i="1"/>
  <c r="O49" i="1" s="1"/>
  <c r="I111" i="1"/>
  <c r="I176" i="1"/>
  <c r="K176" i="1" s="1"/>
  <c r="I493" i="1"/>
  <c r="K493" i="1" s="1"/>
  <c r="J591" i="1"/>
  <c r="I564" i="1"/>
  <c r="N585" i="1"/>
  <c r="J635" i="1"/>
  <c r="K369" i="13"/>
  <c r="I367" i="13"/>
  <c r="K367" i="13" s="1"/>
  <c r="L351" i="1"/>
  <c r="O351" i="1" s="1"/>
  <c r="I370" i="1"/>
  <c r="I509" i="1"/>
  <c r="K509" i="1" s="1"/>
  <c r="I64" i="1"/>
  <c r="I82" i="1"/>
  <c r="L126" i="1"/>
  <c r="O126" i="1" s="1"/>
  <c r="L145" i="1"/>
  <c r="I229" i="1"/>
  <c r="I467" i="1"/>
  <c r="K467" i="1" s="1"/>
  <c r="I487" i="1"/>
  <c r="K487" i="1" s="1"/>
  <c r="I494" i="1"/>
  <c r="K494" i="1" s="1"/>
  <c r="I503" i="1"/>
  <c r="K503" i="1" s="1"/>
  <c r="I511" i="1"/>
  <c r="K511" i="1" s="1"/>
  <c r="I630" i="1"/>
  <c r="J86" i="1"/>
  <c r="J90" i="1"/>
  <c r="J321" i="1"/>
  <c r="J328" i="1"/>
  <c r="J367" i="1"/>
  <c r="J371" i="1"/>
  <c r="J412" i="1"/>
  <c r="I418" i="1"/>
  <c r="J434" i="1"/>
  <c r="J472" i="1"/>
  <c r="J476" i="1"/>
  <c r="K87" i="3"/>
  <c r="K93" i="3"/>
  <c r="L98" i="3"/>
  <c r="O98" i="3" s="1"/>
  <c r="K108" i="3"/>
  <c r="K112" i="3"/>
  <c r="O437" i="3"/>
  <c r="K450" i="3"/>
  <c r="P45" i="5"/>
  <c r="K429" i="7"/>
  <c r="K474" i="7"/>
  <c r="K564" i="7"/>
  <c r="K614" i="7"/>
  <c r="K173" i="8"/>
  <c r="K368" i="8"/>
  <c r="K630" i="8"/>
  <c r="O455" i="9"/>
  <c r="K473" i="9"/>
  <c r="K625" i="11"/>
  <c r="K634" i="11"/>
  <c r="N55" i="12"/>
  <c r="N53" i="12" s="1"/>
  <c r="K164" i="13"/>
  <c r="K580" i="13"/>
  <c r="O533" i="14"/>
  <c r="P275" i="15"/>
  <c r="K401" i="15"/>
  <c r="N279" i="1"/>
  <c r="L380" i="1"/>
  <c r="L384" i="1"/>
  <c r="O384" i="1" s="1"/>
  <c r="K435" i="2"/>
  <c r="O455" i="2"/>
  <c r="N539" i="1"/>
  <c r="N555" i="1"/>
  <c r="J625" i="1"/>
  <c r="J630" i="1"/>
  <c r="J634" i="1"/>
  <c r="J84" i="1"/>
  <c r="I349" i="1"/>
  <c r="J379" i="1"/>
  <c r="N410" i="1"/>
  <c r="J417" i="1"/>
  <c r="N273" i="4"/>
  <c r="N271" i="4" s="1"/>
  <c r="K396" i="4"/>
  <c r="K422" i="5"/>
  <c r="K426" i="5"/>
  <c r="K430" i="5"/>
  <c r="K435" i="5"/>
  <c r="O533" i="6"/>
  <c r="O537" i="6"/>
  <c r="K533" i="8"/>
  <c r="P98" i="9"/>
  <c r="O535" i="11"/>
  <c r="N43" i="12"/>
  <c r="N41" i="12" s="1"/>
  <c r="J203" i="1"/>
  <c r="J213" i="1"/>
  <c r="J219" i="1"/>
  <c r="J263" i="1"/>
  <c r="I289" i="1"/>
  <c r="J302" i="1"/>
  <c r="L337" i="1"/>
  <c r="J362" i="1"/>
  <c r="J368" i="1"/>
  <c r="J392" i="1"/>
  <c r="I481" i="1"/>
  <c r="J508" i="1"/>
  <c r="I516" i="1"/>
  <c r="I520" i="1"/>
  <c r="I524" i="1"/>
  <c r="I532" i="1"/>
  <c r="L535" i="1"/>
  <c r="N601" i="1"/>
  <c r="J610" i="1"/>
  <c r="N318" i="1"/>
  <c r="O318" i="1" s="1"/>
  <c r="I397" i="1"/>
  <c r="K397" i="1" s="1"/>
  <c r="O401" i="3"/>
  <c r="K422" i="3"/>
  <c r="K451" i="3"/>
  <c r="K597" i="4"/>
  <c r="K629" i="4"/>
  <c r="K164" i="5"/>
  <c r="P275" i="5"/>
  <c r="K341" i="5"/>
  <c r="K345" i="5"/>
  <c r="K455" i="7"/>
  <c r="L333" i="8"/>
  <c r="L331" i="8" s="1"/>
  <c r="L329" i="8" s="1"/>
  <c r="K372" i="8"/>
  <c r="N96" i="9"/>
  <c r="N94" i="9" s="1"/>
  <c r="O597" i="10"/>
  <c r="M312" i="11"/>
  <c r="P312" i="11" s="1"/>
  <c r="O404" i="11"/>
  <c r="K482" i="11"/>
  <c r="O385" i="12"/>
  <c r="K424" i="12"/>
  <c r="L98" i="13"/>
  <c r="L96" i="13" s="1"/>
  <c r="L94" i="13" s="1"/>
  <c r="O94" i="13" s="1"/>
  <c r="K133" i="13"/>
  <c r="K149" i="13"/>
  <c r="K629" i="14"/>
  <c r="K380" i="15"/>
  <c r="O401" i="15"/>
  <c r="J282" i="1"/>
  <c r="J309" i="1"/>
  <c r="L315" i="1"/>
  <c r="I324" i="1"/>
  <c r="J447" i="1"/>
  <c r="I474" i="1"/>
  <c r="J481" i="1"/>
  <c r="J485" i="1"/>
  <c r="J489" i="1"/>
  <c r="J493" i="1"/>
  <c r="N541" i="1"/>
  <c r="N552" i="1"/>
  <c r="N557" i="1"/>
  <c r="J564" i="1"/>
  <c r="N567" i="1"/>
  <c r="N581" i="1"/>
  <c r="P224" i="3"/>
  <c r="N566" i="1"/>
  <c r="N572" i="1"/>
  <c r="N583" i="1"/>
  <c r="N32" i="4"/>
  <c r="N30" i="4" s="1"/>
  <c r="K375" i="4"/>
  <c r="K634" i="4"/>
  <c r="K113" i="5"/>
  <c r="K158" i="5"/>
  <c r="K423" i="5"/>
  <c r="K427" i="5"/>
  <c r="O435" i="5"/>
  <c r="K474" i="5"/>
  <c r="N312" i="6"/>
  <c r="N310" i="6" s="1"/>
  <c r="O566" i="6"/>
  <c r="K422" i="7"/>
  <c r="K83" i="9"/>
  <c r="N292" i="9"/>
  <c r="N290" i="9" s="1"/>
  <c r="K573" i="9"/>
  <c r="K628" i="11"/>
  <c r="N142" i="14"/>
  <c r="N140" i="14" s="1"/>
  <c r="J80" i="1"/>
  <c r="N96" i="2"/>
  <c r="N94" i="2" s="1"/>
  <c r="K138" i="2"/>
  <c r="K199" i="2"/>
  <c r="I235" i="1"/>
  <c r="J264" i="1"/>
  <c r="I304" i="1"/>
  <c r="J377" i="1"/>
  <c r="J381" i="1"/>
  <c r="N435" i="1"/>
  <c r="J501" i="1"/>
  <c r="J513" i="1"/>
  <c r="I521" i="1"/>
  <c r="I525" i="1"/>
  <c r="J549" i="1"/>
  <c r="O564" i="2"/>
  <c r="J623" i="1"/>
  <c r="J187" i="1"/>
  <c r="J232" i="1"/>
  <c r="J238" i="1"/>
  <c r="J246" i="1"/>
  <c r="L277" i="1"/>
  <c r="I372" i="1"/>
  <c r="O455" i="3"/>
  <c r="O459" i="3"/>
  <c r="I497" i="1"/>
  <c r="K249" i="4"/>
  <c r="K199" i="6"/>
  <c r="K158" i="7"/>
  <c r="L275" i="7"/>
  <c r="O275" i="7" s="1"/>
  <c r="O439" i="7"/>
  <c r="K597" i="7"/>
  <c r="O385" i="8"/>
  <c r="K416" i="8"/>
  <c r="K612" i="10"/>
  <c r="K199" i="13"/>
  <c r="O401" i="13"/>
  <c r="K200" i="14"/>
  <c r="K270" i="14"/>
  <c r="O404" i="14"/>
  <c r="K189" i="2"/>
  <c r="N347" i="1"/>
  <c r="J478" i="1"/>
  <c r="J482" i="1"/>
  <c r="J486" i="1"/>
  <c r="J494" i="1"/>
  <c r="J105" i="1"/>
  <c r="J115" i="1"/>
  <c r="J130" i="1"/>
  <c r="I138" i="1"/>
  <c r="I482" i="1"/>
  <c r="J631" i="1"/>
  <c r="K465" i="4"/>
  <c r="K473" i="4"/>
  <c r="N43" i="5"/>
  <c r="K424" i="5"/>
  <c r="K432" i="5"/>
  <c r="K449" i="5"/>
  <c r="K396" i="8"/>
  <c r="K425" i="8"/>
  <c r="O437" i="8"/>
  <c r="K499" i="8"/>
  <c r="O102" i="9"/>
  <c r="K109" i="9"/>
  <c r="K164" i="12"/>
  <c r="L224" i="12"/>
  <c r="O224" i="12" s="1"/>
  <c r="O601" i="12"/>
  <c r="L224" i="13"/>
  <c r="O224" i="13" s="1"/>
  <c r="L98" i="2"/>
  <c r="L96" i="2" s="1"/>
  <c r="L94" i="2" s="1"/>
  <c r="K229" i="2"/>
  <c r="N258" i="1"/>
  <c r="J265" i="1"/>
  <c r="L275" i="2"/>
  <c r="O275" i="2" s="1"/>
  <c r="N387" i="1"/>
  <c r="J396" i="1"/>
  <c r="J401" i="1"/>
  <c r="N404" i="1"/>
  <c r="N409" i="1"/>
  <c r="I417" i="1"/>
  <c r="I421" i="1"/>
  <c r="J510" i="1"/>
  <c r="N569" i="1"/>
  <c r="N605" i="1"/>
  <c r="J612" i="1"/>
  <c r="J616" i="1"/>
  <c r="J620" i="1"/>
  <c r="J92" i="1"/>
  <c r="K267" i="3"/>
  <c r="K381" i="3"/>
  <c r="K428" i="3"/>
  <c r="O564" i="3"/>
  <c r="K628" i="3"/>
  <c r="N312" i="4"/>
  <c r="N310" i="4" s="1"/>
  <c r="K466" i="4"/>
  <c r="K573" i="4"/>
  <c r="N142" i="5"/>
  <c r="N140" i="5" s="1"/>
  <c r="K235" i="5"/>
  <c r="K343" i="5"/>
  <c r="N120" i="6"/>
  <c r="N118" i="6" s="1"/>
  <c r="K189" i="6"/>
  <c r="K416" i="6"/>
  <c r="K424" i="6"/>
  <c r="K428" i="6"/>
  <c r="K432" i="6"/>
  <c r="P224" i="7"/>
  <c r="K449" i="7"/>
  <c r="K635" i="7"/>
  <c r="L275" i="8"/>
  <c r="L273" i="8" s="1"/>
  <c r="O599" i="8"/>
  <c r="L45" i="9"/>
  <c r="L43" i="9" s="1"/>
  <c r="K328" i="9"/>
  <c r="P333" i="9"/>
  <c r="K349" i="9"/>
  <c r="K455" i="9"/>
  <c r="K370" i="10"/>
  <c r="K401" i="10"/>
  <c r="O404" i="10"/>
  <c r="K417" i="10"/>
  <c r="K425" i="10"/>
  <c r="K189" i="11"/>
  <c r="K200" i="11"/>
  <c r="O455" i="11"/>
  <c r="K93" i="12"/>
  <c r="K158" i="12"/>
  <c r="N252" i="12"/>
  <c r="N250" i="12" s="1"/>
  <c r="L333" i="12"/>
  <c r="L331" i="12" s="1"/>
  <c r="K341" i="12"/>
  <c r="L32" i="13"/>
  <c r="L30" i="13" s="1"/>
  <c r="K229" i="14"/>
  <c r="K380" i="14"/>
  <c r="L254" i="15"/>
  <c r="O254" i="15" s="1"/>
  <c r="K264" i="15"/>
  <c r="N34" i="15"/>
  <c r="N14" i="15" s="1"/>
  <c r="K381" i="15"/>
  <c r="O385" i="15"/>
  <c r="K481" i="15"/>
  <c r="N440" i="1"/>
  <c r="I449" i="1"/>
  <c r="N456" i="1"/>
  <c r="N461" i="1"/>
  <c r="J512" i="1"/>
  <c r="N228" i="1"/>
  <c r="P294" i="14"/>
  <c r="M292" i="14"/>
  <c r="P292" i="14" s="1"/>
  <c r="I84" i="1"/>
  <c r="L436" i="1"/>
  <c r="O436" i="1" s="1"/>
  <c r="I501" i="1"/>
  <c r="K501" i="1" s="1"/>
  <c r="L584" i="1"/>
  <c r="I591" i="1"/>
  <c r="I631" i="1"/>
  <c r="L59" i="1"/>
  <c r="K81" i="2"/>
  <c r="J322" i="1"/>
  <c r="N33" i="2"/>
  <c r="N13" i="2" s="1"/>
  <c r="J361" i="1"/>
  <c r="J474" i="1"/>
  <c r="N584" i="1"/>
  <c r="K630" i="2"/>
  <c r="K634" i="2"/>
  <c r="J154" i="1"/>
  <c r="J161" i="1"/>
  <c r="J182" i="1"/>
  <c r="J188" i="1"/>
  <c r="J199" i="1"/>
  <c r="J204" i="1"/>
  <c r="J233" i="1"/>
  <c r="K249" i="3"/>
  <c r="J261" i="1"/>
  <c r="J266" i="1"/>
  <c r="J432" i="1"/>
  <c r="N31" i="3"/>
  <c r="N29" i="3" s="1"/>
  <c r="J505" i="1"/>
  <c r="L70" i="4"/>
  <c r="O70" i="4" s="1"/>
  <c r="K112" i="4"/>
  <c r="L146" i="1"/>
  <c r="J157" i="1"/>
  <c r="K164" i="4"/>
  <c r="J194" i="1"/>
  <c r="K634" i="8"/>
  <c r="P275" i="12"/>
  <c r="M273" i="12"/>
  <c r="P273" i="12" s="1"/>
  <c r="O535" i="2"/>
  <c r="K65" i="3"/>
  <c r="K138" i="3"/>
  <c r="L580" i="1"/>
  <c r="K173" i="2"/>
  <c r="O380" i="2"/>
  <c r="K426" i="2"/>
  <c r="O437" i="2"/>
  <c r="J517" i="1"/>
  <c r="J521" i="1"/>
  <c r="J525" i="1"/>
  <c r="J529" i="1"/>
  <c r="J533" i="1"/>
  <c r="L72" i="1"/>
  <c r="K80" i="3"/>
  <c r="L144" i="3"/>
  <c r="L142" i="3" s="1"/>
  <c r="L140" i="3" s="1"/>
  <c r="K200" i="3"/>
  <c r="N33" i="3"/>
  <c r="N13" i="3" s="1"/>
  <c r="I376" i="1"/>
  <c r="N126" i="1"/>
  <c r="J133" i="1"/>
  <c r="M252" i="9"/>
  <c r="M250" i="9" s="1"/>
  <c r="P254" i="9"/>
  <c r="I455" i="1"/>
  <c r="L45" i="2"/>
  <c r="O45" i="2" s="1"/>
  <c r="K64" i="2"/>
  <c r="J117" i="1"/>
  <c r="N275" i="1"/>
  <c r="L294" i="2"/>
  <c r="O294" i="2" s="1"/>
  <c r="O384" i="2"/>
  <c r="O406" i="2"/>
  <c r="K423" i="2"/>
  <c r="J483" i="1"/>
  <c r="J498" i="1"/>
  <c r="J502" i="1"/>
  <c r="J506" i="1"/>
  <c r="K185" i="3"/>
  <c r="N602" i="1"/>
  <c r="I619" i="1"/>
  <c r="I623" i="1"/>
  <c r="J113" i="1"/>
  <c r="K149" i="4"/>
  <c r="M333" i="1"/>
  <c r="I450" i="1"/>
  <c r="I505" i="1"/>
  <c r="K505" i="1" s="1"/>
  <c r="I593" i="1"/>
  <c r="I480" i="1"/>
  <c r="K480" i="1" s="1"/>
  <c r="K499" i="2"/>
  <c r="J575" i="1"/>
  <c r="K628" i="2"/>
  <c r="K113" i="3"/>
  <c r="P294" i="3"/>
  <c r="N331" i="3"/>
  <c r="N329" i="3" s="1"/>
  <c r="J342" i="1"/>
  <c r="K402" i="3"/>
  <c r="K419" i="3"/>
  <c r="K423" i="3"/>
  <c r="K427" i="3"/>
  <c r="O537" i="3"/>
  <c r="J595" i="1"/>
  <c r="N598" i="1"/>
  <c r="I92" i="1"/>
  <c r="J104" i="1"/>
  <c r="I110" i="1"/>
  <c r="M70" i="1"/>
  <c r="I215" i="1"/>
  <c r="K215" i="1" s="1"/>
  <c r="I475" i="1"/>
  <c r="K475" i="1" s="1"/>
  <c r="I506" i="1"/>
  <c r="K506" i="1" s="1"/>
  <c r="L552" i="1"/>
  <c r="O552" i="1" s="1"/>
  <c r="I577" i="1"/>
  <c r="K577" i="1" s="1"/>
  <c r="N142" i="2"/>
  <c r="N140" i="2" s="1"/>
  <c r="N222" i="2"/>
  <c r="N220" i="2" s="1"/>
  <c r="L316" i="1"/>
  <c r="J324" i="1"/>
  <c r="M331" i="3"/>
  <c r="M329" i="3" s="1"/>
  <c r="J473" i="1"/>
  <c r="N582" i="1"/>
  <c r="N588" i="1"/>
  <c r="P70" i="12"/>
  <c r="M68" i="12"/>
  <c r="P68" i="12" s="1"/>
  <c r="M57" i="1"/>
  <c r="I350" i="1"/>
  <c r="L600" i="1"/>
  <c r="O600" i="1" s="1"/>
  <c r="J629" i="1"/>
  <c r="P57" i="2"/>
  <c r="L70" i="2"/>
  <c r="O70" i="2" s="1"/>
  <c r="I80" i="1"/>
  <c r="J83" i="1"/>
  <c r="K328" i="2"/>
  <c r="J374" i="1"/>
  <c r="J416" i="1"/>
  <c r="J420" i="1"/>
  <c r="J424" i="1"/>
  <c r="J428" i="1"/>
  <c r="K285" i="3"/>
  <c r="J304" i="1"/>
  <c r="K370" i="3"/>
  <c r="O385" i="3"/>
  <c r="O435" i="3"/>
  <c r="K466" i="3"/>
  <c r="J519" i="1"/>
  <c r="J523" i="1"/>
  <c r="J527" i="1"/>
  <c r="J531" i="1"/>
  <c r="N534" i="1"/>
  <c r="J547" i="1"/>
  <c r="L566" i="1"/>
  <c r="N571" i="1"/>
  <c r="N70" i="1"/>
  <c r="J79" i="1"/>
  <c r="I83" i="1"/>
  <c r="O458" i="9"/>
  <c r="L33" i="9"/>
  <c r="O33" i="9" s="1"/>
  <c r="K229" i="4"/>
  <c r="J323" i="1"/>
  <c r="O354" i="4"/>
  <c r="L406" i="1"/>
  <c r="J414" i="1"/>
  <c r="O435" i="4"/>
  <c r="K481" i="4"/>
  <c r="M43" i="5"/>
  <c r="M41" i="5" s="1"/>
  <c r="N33" i="5"/>
  <c r="N13" i="5" s="1"/>
  <c r="K634" i="5"/>
  <c r="O406" i="6"/>
  <c r="O435" i="6"/>
  <c r="K481" i="6"/>
  <c r="K629" i="7"/>
  <c r="K498" i="8"/>
  <c r="K267" i="9"/>
  <c r="O437" i="9"/>
  <c r="M120" i="10"/>
  <c r="P120" i="10" s="1"/>
  <c r="N96" i="11"/>
  <c r="N94" i="11" s="1"/>
  <c r="K421" i="11"/>
  <c r="N273" i="12"/>
  <c r="N271" i="12" s="1"/>
  <c r="N33" i="12"/>
  <c r="N13" i="12" s="1"/>
  <c r="O380" i="12"/>
  <c r="K398" i="12"/>
  <c r="O455" i="12"/>
  <c r="K398" i="13"/>
  <c r="K396" i="15"/>
  <c r="K343" i="4"/>
  <c r="J402" i="1"/>
  <c r="O385" i="6"/>
  <c r="K419" i="6"/>
  <c r="N26" i="7"/>
  <c r="N16" i="7" s="1"/>
  <c r="N312" i="7"/>
  <c r="N310" i="7" s="1"/>
  <c r="L144" i="8"/>
  <c r="O144" i="8" s="1"/>
  <c r="K189" i="8"/>
  <c r="N33" i="8"/>
  <c r="N13" i="8" s="1"/>
  <c r="K424" i="8"/>
  <c r="O457" i="8"/>
  <c r="K589" i="9"/>
  <c r="K629" i="9"/>
  <c r="K235" i="10"/>
  <c r="O349" i="10"/>
  <c r="K111" i="12"/>
  <c r="K372" i="12"/>
  <c r="K381" i="14"/>
  <c r="K482" i="14"/>
  <c r="K158" i="15"/>
  <c r="K285" i="15"/>
  <c r="I374" i="1"/>
  <c r="J393" i="1"/>
  <c r="J399" i="1"/>
  <c r="K482" i="4"/>
  <c r="O406" i="5"/>
  <c r="L57" i="6"/>
  <c r="O57" i="6" s="1"/>
  <c r="L70" i="6"/>
  <c r="O70" i="6" s="1"/>
  <c r="O439" i="6"/>
  <c r="P254" i="8"/>
  <c r="N43" i="9"/>
  <c r="N41" i="9" s="1"/>
  <c r="K200" i="9"/>
  <c r="L254" i="9"/>
  <c r="L252" i="9" s="1"/>
  <c r="K368" i="9"/>
  <c r="O401" i="9"/>
  <c r="K465" i="9"/>
  <c r="K426" i="10"/>
  <c r="K430" i="10"/>
  <c r="L57" i="12"/>
  <c r="O57" i="12" s="1"/>
  <c r="N34" i="12"/>
  <c r="N14" i="12" s="1"/>
  <c r="K420" i="12"/>
  <c r="O385" i="13"/>
  <c r="K474" i="13"/>
  <c r="K481" i="13"/>
  <c r="O566" i="13"/>
  <c r="K593" i="13"/>
  <c r="K117" i="14"/>
  <c r="L122" i="14"/>
  <c r="O122" i="14" s="1"/>
  <c r="K397" i="15"/>
  <c r="L275" i="4"/>
  <c r="L273" i="4" s="1"/>
  <c r="N357" i="1"/>
  <c r="J365" i="1"/>
  <c r="J370" i="1"/>
  <c r="K449" i="4"/>
  <c r="N68" i="5"/>
  <c r="N66" i="5" s="1"/>
  <c r="L98" i="5"/>
  <c r="O98" i="5" s="1"/>
  <c r="L122" i="5"/>
  <c r="L120" i="5" s="1"/>
  <c r="N292" i="5"/>
  <c r="N290" i="5" s="1"/>
  <c r="K420" i="6"/>
  <c r="K474" i="6"/>
  <c r="N120" i="7"/>
  <c r="N118" i="7" s="1"/>
  <c r="N31" i="7"/>
  <c r="N29" i="7" s="1"/>
  <c r="O533" i="7"/>
  <c r="K328" i="8"/>
  <c r="K340" i="8"/>
  <c r="O347" i="8"/>
  <c r="O354" i="8"/>
  <c r="O404" i="8"/>
  <c r="K455" i="8"/>
  <c r="K173" i="10"/>
  <c r="O599" i="10"/>
  <c r="K398" i="11"/>
  <c r="K455" i="11"/>
  <c r="K533" i="11"/>
  <c r="K133" i="15"/>
  <c r="K401" i="4"/>
  <c r="K417" i="4"/>
  <c r="K564" i="4"/>
  <c r="K185" i="5"/>
  <c r="N26" i="6"/>
  <c r="N16" i="6" s="1"/>
  <c r="O597" i="6"/>
  <c r="K631" i="7"/>
  <c r="M96" i="8"/>
  <c r="P96" i="8" s="1"/>
  <c r="O533" i="8"/>
  <c r="K633" i="8"/>
  <c r="K64" i="9"/>
  <c r="K92" i="9"/>
  <c r="K265" i="9"/>
  <c r="K398" i="9"/>
  <c r="K402" i="9"/>
  <c r="K482" i="9"/>
  <c r="O580" i="9"/>
  <c r="L70" i="10"/>
  <c r="L68" i="10" s="1"/>
  <c r="K350" i="10"/>
  <c r="K343" i="12"/>
  <c r="K417" i="12"/>
  <c r="K421" i="12"/>
  <c r="N31" i="12"/>
  <c r="N11" i="12" s="1"/>
  <c r="N9" i="12" s="1"/>
  <c r="K628" i="12"/>
  <c r="P57" i="13"/>
  <c r="N68" i="13"/>
  <c r="N66" i="13" s="1"/>
  <c r="K328" i="13"/>
  <c r="K340" i="14"/>
  <c r="K350" i="15"/>
  <c r="K419" i="15"/>
  <c r="K473" i="15"/>
  <c r="L349" i="1"/>
  <c r="K455" i="4"/>
  <c r="O582" i="5"/>
  <c r="K397" i="6"/>
  <c r="O401" i="6"/>
  <c r="N34" i="7"/>
  <c r="N14" i="7" s="1"/>
  <c r="K418" i="7"/>
  <c r="K611" i="7"/>
  <c r="K628" i="7"/>
  <c r="K422" i="8"/>
  <c r="O455" i="8"/>
  <c r="N142" i="9"/>
  <c r="P142" i="9" s="1"/>
  <c r="K158" i="10"/>
  <c r="O439" i="10"/>
  <c r="K423" i="11"/>
  <c r="K427" i="11"/>
  <c r="O537" i="11"/>
  <c r="N96" i="12"/>
  <c r="N94" i="12" s="1"/>
  <c r="O383" i="14"/>
  <c r="O401" i="14"/>
  <c r="K450" i="14"/>
  <c r="K464" i="14"/>
  <c r="O564" i="14"/>
  <c r="O568" i="14"/>
  <c r="K199" i="15"/>
  <c r="J235" i="1"/>
  <c r="J243" i="1"/>
  <c r="J262" i="1"/>
  <c r="K267" i="4"/>
  <c r="O380" i="4"/>
  <c r="K397" i="4"/>
  <c r="K418" i="4"/>
  <c r="K426" i="4"/>
  <c r="K435" i="4"/>
  <c r="K499" i="4"/>
  <c r="O568" i="4"/>
  <c r="K186" i="5"/>
  <c r="K213" i="5"/>
  <c r="K380" i="5"/>
  <c r="K464" i="5"/>
  <c r="O533" i="5"/>
  <c r="K629" i="5"/>
  <c r="L144" i="6"/>
  <c r="O144" i="6" s="1"/>
  <c r="K426" i="6"/>
  <c r="L224" i="7"/>
  <c r="O224" i="7" s="1"/>
  <c r="P333" i="7"/>
  <c r="K450" i="7"/>
  <c r="K117" i="8"/>
  <c r="K199" i="8"/>
  <c r="N222" i="8"/>
  <c r="N220" i="8" s="1"/>
  <c r="P220" i="8" s="1"/>
  <c r="L314" i="8"/>
  <c r="O314" i="8" s="1"/>
  <c r="K398" i="8"/>
  <c r="K402" i="8"/>
  <c r="K419" i="8"/>
  <c r="K431" i="8"/>
  <c r="O435" i="8"/>
  <c r="K473" i="8"/>
  <c r="K497" i="8"/>
  <c r="P70" i="9"/>
  <c r="K149" i="9"/>
  <c r="O564" i="9"/>
  <c r="K219" i="10"/>
  <c r="K340" i="10"/>
  <c r="K416" i="10"/>
  <c r="K428" i="10"/>
  <c r="K432" i="10"/>
  <c r="K466" i="11"/>
  <c r="K110" i="12"/>
  <c r="K229" i="12"/>
  <c r="K380" i="12"/>
  <c r="O383" i="12"/>
  <c r="K117" i="13"/>
  <c r="K173" i="13"/>
  <c r="K345" i="13"/>
  <c r="O349" i="13"/>
  <c r="K421" i="13"/>
  <c r="O437" i="13"/>
  <c r="K497" i="13"/>
  <c r="K426" i="14"/>
  <c r="N142" i="15"/>
  <c r="N140" i="15" s="1"/>
  <c r="K173" i="15"/>
  <c r="K200" i="15"/>
  <c r="K235" i="15"/>
  <c r="K449" i="15"/>
  <c r="K474" i="15"/>
  <c r="O566" i="15"/>
  <c r="L123" i="1"/>
  <c r="I185" i="1"/>
  <c r="K185" i="1" s="1"/>
  <c r="I346" i="1"/>
  <c r="K346" i="1" s="1"/>
  <c r="L383" i="1"/>
  <c r="N436" i="1"/>
  <c r="J172" i="1"/>
  <c r="P224" i="2"/>
  <c r="L296" i="1"/>
  <c r="N331" i="2"/>
  <c r="N329" i="2" s="1"/>
  <c r="I425" i="1"/>
  <c r="K465" i="2"/>
  <c r="K350" i="3"/>
  <c r="O354" i="3"/>
  <c r="K372" i="3"/>
  <c r="K376" i="3"/>
  <c r="K425" i="3"/>
  <c r="K429" i="3"/>
  <c r="M120" i="4"/>
  <c r="M118" i="4" s="1"/>
  <c r="P118" i="4" s="1"/>
  <c r="K158" i="4"/>
  <c r="K419" i="4"/>
  <c r="O437" i="4"/>
  <c r="K628" i="4"/>
  <c r="K635" i="4"/>
  <c r="K108" i="5"/>
  <c r="L294" i="5"/>
  <c r="O294" i="5" s="1"/>
  <c r="K200" i="7"/>
  <c r="I132" i="1"/>
  <c r="N224" i="1"/>
  <c r="I342" i="1"/>
  <c r="K342" i="1" s="1"/>
  <c r="L455" i="1"/>
  <c r="I466" i="1"/>
  <c r="K466" i="1" s="1"/>
  <c r="I578" i="1"/>
  <c r="K578" i="1" s="1"/>
  <c r="L581" i="1"/>
  <c r="O581" i="1" s="1"/>
  <c r="I634" i="1"/>
  <c r="L32" i="2"/>
  <c r="L30" i="2" s="1"/>
  <c r="N22" i="2"/>
  <c r="K80" i="2"/>
  <c r="L122" i="2"/>
  <c r="O122" i="2" s="1"/>
  <c r="L144" i="2"/>
  <c r="O144" i="2" s="1"/>
  <c r="O298" i="2"/>
  <c r="K304" i="2"/>
  <c r="K397" i="2"/>
  <c r="O401" i="2"/>
  <c r="K417" i="2"/>
  <c r="K473" i="2"/>
  <c r="K480" i="2"/>
  <c r="O537" i="2"/>
  <c r="K613" i="2"/>
  <c r="L26" i="3"/>
  <c r="L16" i="3" s="1"/>
  <c r="K397" i="3"/>
  <c r="K573" i="3"/>
  <c r="K83" i="4"/>
  <c r="K93" i="4"/>
  <c r="K110" i="4"/>
  <c r="O349" i="4"/>
  <c r="P122" i="5"/>
  <c r="M252" i="5"/>
  <c r="P252" i="5" s="1"/>
  <c r="N273" i="5"/>
  <c r="N271" i="5" s="1"/>
  <c r="K340" i="5"/>
  <c r="N144" i="1"/>
  <c r="I285" i="1"/>
  <c r="I380" i="1"/>
  <c r="I484" i="1"/>
  <c r="K484" i="1" s="1"/>
  <c r="I502" i="1"/>
  <c r="K502" i="1" s="1"/>
  <c r="I573" i="1"/>
  <c r="K430" i="2"/>
  <c r="K343" i="3"/>
  <c r="K435" i="3"/>
  <c r="K482" i="3"/>
  <c r="K420" i="4"/>
  <c r="K431" i="4"/>
  <c r="K620" i="4"/>
  <c r="N331" i="5"/>
  <c r="N329" i="5" s="1"/>
  <c r="O601" i="5"/>
  <c r="K533" i="7"/>
  <c r="I249" i="1"/>
  <c r="L295" i="1"/>
  <c r="I635" i="1"/>
  <c r="K547" i="2"/>
  <c r="L23" i="3"/>
  <c r="O23" i="3" s="1"/>
  <c r="K158" i="3"/>
  <c r="K264" i="3"/>
  <c r="O406" i="3"/>
  <c r="K108" i="4"/>
  <c r="K199" i="4"/>
  <c r="L58" i="1"/>
  <c r="I164" i="1"/>
  <c r="I216" i="1"/>
  <c r="I267" i="1"/>
  <c r="K267" i="1" s="1"/>
  <c r="N337" i="1"/>
  <c r="N352" i="1"/>
  <c r="I375" i="1"/>
  <c r="L555" i="1"/>
  <c r="O555" i="1" s="1"/>
  <c r="L567" i="1"/>
  <c r="O567" i="1" s="1"/>
  <c r="I580" i="1"/>
  <c r="K580" i="1" s="1"/>
  <c r="M120" i="2"/>
  <c r="P120" i="2" s="1"/>
  <c r="O457" i="2"/>
  <c r="N551" i="1"/>
  <c r="K265" i="3"/>
  <c r="K341" i="3"/>
  <c r="K431" i="3"/>
  <c r="O533" i="3"/>
  <c r="K328" i="4"/>
  <c r="L333" i="4"/>
  <c r="O333" i="4" s="1"/>
  <c r="K421" i="4"/>
  <c r="O566" i="4"/>
  <c r="L275" i="5"/>
  <c r="L273" i="5" s="1"/>
  <c r="L71" i="1"/>
  <c r="I88" i="1"/>
  <c r="I477" i="1"/>
  <c r="K477" i="1" s="1"/>
  <c r="I495" i="1"/>
  <c r="K495" i="1" s="1"/>
  <c r="I628" i="1"/>
  <c r="P70" i="2"/>
  <c r="K201" i="2"/>
  <c r="K235" i="2"/>
  <c r="K289" i="2"/>
  <c r="L333" i="2"/>
  <c r="O333" i="2" s="1"/>
  <c r="K345" i="2"/>
  <c r="J378" i="1"/>
  <c r="L34" i="3"/>
  <c r="K270" i="3"/>
  <c r="K309" i="3"/>
  <c r="O349" i="3"/>
  <c r="O439" i="3"/>
  <c r="O597" i="3"/>
  <c r="O601" i="3"/>
  <c r="K109" i="4"/>
  <c r="K189" i="4"/>
  <c r="K200" i="4"/>
  <c r="K341" i="4"/>
  <c r="K349" i="4"/>
  <c r="K398" i="4"/>
  <c r="K425" i="4"/>
  <c r="K533" i="4"/>
  <c r="K625" i="4"/>
  <c r="L254" i="5"/>
  <c r="O254" i="5" s="1"/>
  <c r="K396" i="5"/>
  <c r="P98" i="7"/>
  <c r="M96" i="7"/>
  <c r="P96" i="7" s="1"/>
  <c r="L99" i="1"/>
  <c r="M122" i="1"/>
  <c r="N254" i="1"/>
  <c r="I469" i="1"/>
  <c r="K469" i="1" s="1"/>
  <c r="I594" i="1"/>
  <c r="K594" i="1" s="1"/>
  <c r="L597" i="1"/>
  <c r="L601" i="1"/>
  <c r="L57" i="2"/>
  <c r="O57" i="2" s="1"/>
  <c r="K149" i="2"/>
  <c r="J303" i="1"/>
  <c r="K396" i="2"/>
  <c r="K401" i="2"/>
  <c r="K498" i="2"/>
  <c r="L57" i="3"/>
  <c r="L55" i="3" s="1"/>
  <c r="L53" i="3" s="1"/>
  <c r="L70" i="3"/>
  <c r="O70" i="3" s="1"/>
  <c r="K117" i="3"/>
  <c r="K199" i="3"/>
  <c r="K304" i="3"/>
  <c r="K401" i="3"/>
  <c r="K417" i="3"/>
  <c r="K421" i="3"/>
  <c r="K498" i="3"/>
  <c r="K547" i="3"/>
  <c r="K113" i="4"/>
  <c r="O337" i="4"/>
  <c r="K345" i="4"/>
  <c r="O352" i="4"/>
  <c r="K402" i="4"/>
  <c r="K422" i="4"/>
  <c r="O404" i="5"/>
  <c r="K416" i="5"/>
  <c r="K428" i="5"/>
  <c r="O564" i="5"/>
  <c r="K573" i="5"/>
  <c r="K435" i="6"/>
  <c r="O535" i="6"/>
  <c r="O601" i="6"/>
  <c r="O349" i="7"/>
  <c r="K420" i="7"/>
  <c r="K431" i="7"/>
  <c r="O435" i="7"/>
  <c r="K482" i="7"/>
  <c r="O537" i="7"/>
  <c r="O568" i="7"/>
  <c r="K164" i="8"/>
  <c r="L224" i="8"/>
  <c r="L222" i="8" s="1"/>
  <c r="N273" i="8"/>
  <c r="N271" i="8" s="1"/>
  <c r="O601" i="8"/>
  <c r="N55" i="9"/>
  <c r="N53" i="9" s="1"/>
  <c r="P144" i="9"/>
  <c r="K266" i="9"/>
  <c r="L34" i="9"/>
  <c r="M96" i="10"/>
  <c r="P96" i="10" s="1"/>
  <c r="N32" i="10"/>
  <c r="N30" i="10" s="1"/>
  <c r="P224" i="13"/>
  <c r="M222" i="13"/>
  <c r="M220" i="13" s="1"/>
  <c r="K430" i="14"/>
  <c r="K429" i="5"/>
  <c r="L34" i="6"/>
  <c r="N96" i="8"/>
  <c r="N94" i="8" s="1"/>
  <c r="L57" i="9"/>
  <c r="O57" i="9" s="1"/>
  <c r="K80" i="9"/>
  <c r="N252" i="9"/>
  <c r="N250" i="9" s="1"/>
  <c r="O347" i="9"/>
  <c r="N34" i="9"/>
  <c r="N14" i="9" s="1"/>
  <c r="K372" i="9"/>
  <c r="K376" i="9"/>
  <c r="K417" i="9"/>
  <c r="K421" i="9"/>
  <c r="K474" i="9"/>
  <c r="K591" i="9"/>
  <c r="K547" i="10"/>
  <c r="O566" i="10"/>
  <c r="N43" i="11"/>
  <c r="N41" i="11" s="1"/>
  <c r="P57" i="12"/>
  <c r="P122" i="13"/>
  <c r="K396" i="13"/>
  <c r="O404" i="13"/>
  <c r="K630" i="13"/>
  <c r="O384" i="14"/>
  <c r="L33" i="14"/>
  <c r="O33" i="14" s="1"/>
  <c r="K397" i="5"/>
  <c r="O49" i="6"/>
  <c r="P333" i="6"/>
  <c r="K340" i="6"/>
  <c r="K343" i="6"/>
  <c r="O347" i="6"/>
  <c r="K396" i="6"/>
  <c r="K455" i="6"/>
  <c r="K464" i="6"/>
  <c r="K564" i="6"/>
  <c r="K573" i="6"/>
  <c r="K613" i="6"/>
  <c r="K618" i="6"/>
  <c r="K164" i="7"/>
  <c r="N222" i="7"/>
  <c r="N220" i="7" s="1"/>
  <c r="P220" i="7" s="1"/>
  <c r="K235" i="7"/>
  <c r="K375" i="7"/>
  <c r="K396" i="7"/>
  <c r="K425" i="7"/>
  <c r="K466" i="7"/>
  <c r="K473" i="7"/>
  <c r="N142" i="8"/>
  <c r="N140" i="8" s="1"/>
  <c r="K200" i="8"/>
  <c r="K380" i="8"/>
  <c r="M292" i="9"/>
  <c r="P292" i="9" s="1"/>
  <c r="K340" i="9"/>
  <c r="P70" i="11"/>
  <c r="M68" i="11"/>
  <c r="M66" i="11" s="1"/>
  <c r="P66" i="11" s="1"/>
  <c r="K369" i="14"/>
  <c r="I367" i="14"/>
  <c r="K367" i="14" s="1"/>
  <c r="M68" i="15"/>
  <c r="P68" i="15" s="1"/>
  <c r="P70" i="15"/>
  <c r="P275" i="8"/>
  <c r="K376" i="8"/>
  <c r="K427" i="8"/>
  <c r="K111" i="9"/>
  <c r="K419" i="10"/>
  <c r="O435" i="10"/>
  <c r="P57" i="11"/>
  <c r="M55" i="11"/>
  <c r="M53" i="11" s="1"/>
  <c r="P98" i="11"/>
  <c r="M96" i="11"/>
  <c r="P96" i="11" s="1"/>
  <c r="N26" i="11"/>
  <c r="N16" i="11" s="1"/>
  <c r="K173" i="12"/>
  <c r="L34" i="12"/>
  <c r="O406" i="12"/>
  <c r="K304" i="13"/>
  <c r="L314" i="13"/>
  <c r="O314" i="13" s="1"/>
  <c r="O337" i="13"/>
  <c r="K398" i="15"/>
  <c r="O385" i="5"/>
  <c r="K402" i="5"/>
  <c r="O455" i="5"/>
  <c r="K547" i="5"/>
  <c r="K580" i="5"/>
  <c r="K158" i="6"/>
  <c r="P224" i="6"/>
  <c r="K341" i="6"/>
  <c r="K421" i="6"/>
  <c r="O455" i="6"/>
  <c r="O459" i="6"/>
  <c r="O564" i="6"/>
  <c r="O568" i="6"/>
  <c r="L57" i="7"/>
  <c r="L55" i="7" s="1"/>
  <c r="N96" i="7"/>
  <c r="N94" i="7" s="1"/>
  <c r="N331" i="7"/>
  <c r="N329" i="7" s="1"/>
  <c r="K343" i="7"/>
  <c r="K372" i="7"/>
  <c r="O457" i="7"/>
  <c r="O597" i="7"/>
  <c r="O601" i="7"/>
  <c r="K630" i="7"/>
  <c r="K229" i="8"/>
  <c r="L294" i="8"/>
  <c r="O380" i="8"/>
  <c r="O401" i="8"/>
  <c r="K428" i="8"/>
  <c r="K432" i="8"/>
  <c r="O459" i="8"/>
  <c r="K481" i="8"/>
  <c r="K597" i="8"/>
  <c r="K93" i="9"/>
  <c r="L98" i="9"/>
  <c r="O98" i="9" s="1"/>
  <c r="K108" i="9"/>
  <c r="K158" i="9"/>
  <c r="L333" i="9"/>
  <c r="O333" i="9" s="1"/>
  <c r="K426" i="9"/>
  <c r="K430" i="9"/>
  <c r="K497" i="9"/>
  <c r="K381" i="10"/>
  <c r="K199" i="11"/>
  <c r="K428" i="11"/>
  <c r="K432" i="11"/>
  <c r="K369" i="12"/>
  <c r="I367" i="12"/>
  <c r="K367" i="12" s="1"/>
  <c r="K427" i="9"/>
  <c r="K431" i="9"/>
  <c r="O439" i="9"/>
  <c r="O352" i="10"/>
  <c r="L32" i="10"/>
  <c r="L30" i="10" s="1"/>
  <c r="O49" i="11"/>
  <c r="M49" i="11"/>
  <c r="M43" i="11" s="1"/>
  <c r="P102" i="12"/>
  <c r="K270" i="13"/>
  <c r="N31" i="14"/>
  <c r="N29" i="14" s="1"/>
  <c r="O439" i="5"/>
  <c r="K564" i="5"/>
  <c r="O580" i="5"/>
  <c r="O599" i="5"/>
  <c r="K149" i="6"/>
  <c r="K547" i="6"/>
  <c r="L98" i="7"/>
  <c r="L96" i="7" s="1"/>
  <c r="O96" i="7" s="1"/>
  <c r="K381" i="7"/>
  <c r="O406" i="7"/>
  <c r="K427" i="7"/>
  <c r="K464" i="7"/>
  <c r="K573" i="7"/>
  <c r="K619" i="7"/>
  <c r="K285" i="8"/>
  <c r="K345" i="9"/>
  <c r="O349" i="9"/>
  <c r="K498" i="9"/>
  <c r="K626" i="9"/>
  <c r="K621" i="9"/>
  <c r="N273" i="10"/>
  <c r="N271" i="10" s="1"/>
  <c r="L333" i="10"/>
  <c r="L331" i="10" s="1"/>
  <c r="K631" i="14"/>
  <c r="K343" i="15"/>
  <c r="K350" i="8"/>
  <c r="O406" i="8"/>
  <c r="K429" i="8"/>
  <c r="K466" i="8"/>
  <c r="K82" i="9"/>
  <c r="P275" i="9"/>
  <c r="N33" i="9"/>
  <c r="N13" i="9" s="1"/>
  <c r="K375" i="9"/>
  <c r="K432" i="9"/>
  <c r="K449" i="9"/>
  <c r="K499" i="9"/>
  <c r="K533" i="9"/>
  <c r="O584" i="9"/>
  <c r="P224" i="10"/>
  <c r="O337" i="11"/>
  <c r="M337" i="11"/>
  <c r="P337" i="11" s="1"/>
  <c r="O354" i="11"/>
  <c r="L34" i="11"/>
  <c r="O439" i="13"/>
  <c r="N34" i="13"/>
  <c r="N14" i="13" s="1"/>
  <c r="O535" i="15"/>
  <c r="K628" i="9"/>
  <c r="L254" i="10"/>
  <c r="O254" i="10" s="1"/>
  <c r="K343" i="10"/>
  <c r="O347" i="10"/>
  <c r="K398" i="10"/>
  <c r="K629" i="10"/>
  <c r="N55" i="11"/>
  <c r="N53" i="11" s="1"/>
  <c r="K219" i="11"/>
  <c r="N222" i="11"/>
  <c r="N220" i="11" s="1"/>
  <c r="N252" i="11"/>
  <c r="N250" i="11" s="1"/>
  <c r="K431" i="11"/>
  <c r="K630" i="11"/>
  <c r="L70" i="12"/>
  <c r="O70" i="12" s="1"/>
  <c r="K113" i="12"/>
  <c r="K350" i="12"/>
  <c r="K375" i="12"/>
  <c r="K397" i="12"/>
  <c r="O401" i="12"/>
  <c r="O457" i="12"/>
  <c r="O535" i="12"/>
  <c r="N32" i="12"/>
  <c r="N30" i="12" s="1"/>
  <c r="K629" i="12"/>
  <c r="K466" i="13"/>
  <c r="K473" i="13"/>
  <c r="K498" i="13"/>
  <c r="O533" i="13"/>
  <c r="O537" i="13"/>
  <c r="O584" i="13"/>
  <c r="P45" i="14"/>
  <c r="P144" i="14"/>
  <c r="K199" i="14"/>
  <c r="K219" i="14"/>
  <c r="K285" i="14"/>
  <c r="O380" i="14"/>
  <c r="K418" i="14"/>
  <c r="O437" i="14"/>
  <c r="O457" i="14"/>
  <c r="K630" i="14"/>
  <c r="K289" i="15"/>
  <c r="L294" i="15"/>
  <c r="O294" i="15" s="1"/>
  <c r="K304" i="15"/>
  <c r="K324" i="15"/>
  <c r="K368" i="15"/>
  <c r="K376" i="15"/>
  <c r="K418" i="15"/>
  <c r="K426" i="15"/>
  <c r="K430" i="15"/>
  <c r="K435" i="15"/>
  <c r="K455" i="15"/>
  <c r="K464" i="15"/>
  <c r="K547" i="15"/>
  <c r="N273" i="11"/>
  <c r="N271" i="11" s="1"/>
  <c r="O437" i="11"/>
  <c r="K616" i="11"/>
  <c r="K631" i="11"/>
  <c r="N142" i="12"/>
  <c r="N140" i="12" s="1"/>
  <c r="N312" i="12"/>
  <c r="N310" i="12" s="1"/>
  <c r="K377" i="12"/>
  <c r="K435" i="12"/>
  <c r="K499" i="12"/>
  <c r="M55" i="13"/>
  <c r="M53" i="13" s="1"/>
  <c r="L122" i="13"/>
  <c r="O122" i="13" s="1"/>
  <c r="L144" i="13"/>
  <c r="O144" i="13" s="1"/>
  <c r="K189" i="13"/>
  <c r="K350" i="13"/>
  <c r="K397" i="13"/>
  <c r="K425" i="13"/>
  <c r="K429" i="13"/>
  <c r="O457" i="13"/>
  <c r="K482" i="13"/>
  <c r="K591" i="13"/>
  <c r="K631" i="13"/>
  <c r="K235" i="14"/>
  <c r="L333" i="14"/>
  <c r="O333" i="14" s="1"/>
  <c r="K345" i="14"/>
  <c r="N32" i="14"/>
  <c r="N30" i="14" s="1"/>
  <c r="O385" i="14"/>
  <c r="N96" i="15"/>
  <c r="N94" i="15" s="1"/>
  <c r="N31" i="15"/>
  <c r="N11" i="15" s="1"/>
  <c r="K370" i="15"/>
  <c r="K431" i="15"/>
  <c r="O439" i="15"/>
  <c r="K466" i="15"/>
  <c r="K597" i="15"/>
  <c r="N331" i="11"/>
  <c r="N329" i="11" s="1"/>
  <c r="N31" i="11"/>
  <c r="N29" i="11" s="1"/>
  <c r="O533" i="12"/>
  <c r="O537" i="12"/>
  <c r="K185" i="13"/>
  <c r="N312" i="13"/>
  <c r="N310" i="13" s="1"/>
  <c r="O347" i="13"/>
  <c r="O535" i="13"/>
  <c r="K635" i="13"/>
  <c r="K133" i="14"/>
  <c r="L26" i="14"/>
  <c r="L16" i="14" s="1"/>
  <c r="K158" i="14"/>
  <c r="L98" i="15"/>
  <c r="L96" i="15" s="1"/>
  <c r="O96" i="15" s="1"/>
  <c r="K328" i="15"/>
  <c r="O352" i="15"/>
  <c r="K621" i="15"/>
  <c r="O49" i="10"/>
  <c r="K396" i="10"/>
  <c r="O437" i="10"/>
  <c r="K533" i="10"/>
  <c r="K573" i="10"/>
  <c r="K173" i="11"/>
  <c r="N312" i="11"/>
  <c r="N310" i="11" s="1"/>
  <c r="K340" i="11"/>
  <c r="K402" i="11"/>
  <c r="K422" i="11"/>
  <c r="O566" i="11"/>
  <c r="L45" i="12"/>
  <c r="L43" i="12" s="1"/>
  <c r="K431" i="12"/>
  <c r="K289" i="13"/>
  <c r="P333" i="13"/>
  <c r="N33" i="13"/>
  <c r="N13" i="13" s="1"/>
  <c r="K402" i="13"/>
  <c r="K426" i="13"/>
  <c r="N22" i="14"/>
  <c r="K428" i="14"/>
  <c r="N34" i="14"/>
  <c r="N14" i="14" s="1"/>
  <c r="K481" i="14"/>
  <c r="K620" i="14"/>
  <c r="L224" i="15"/>
  <c r="L222" i="15" s="1"/>
  <c r="L220" i="15" s="1"/>
  <c r="N312" i="15"/>
  <c r="N310" i="15" s="1"/>
  <c r="K420" i="15"/>
  <c r="K428" i="15"/>
  <c r="K634" i="9"/>
  <c r="L98" i="10"/>
  <c r="O98" i="10" s="1"/>
  <c r="K368" i="10"/>
  <c r="K375" i="10"/>
  <c r="K380" i="10"/>
  <c r="K397" i="10"/>
  <c r="O401" i="10"/>
  <c r="K450" i="10"/>
  <c r="O533" i="10"/>
  <c r="O568" i="10"/>
  <c r="K628" i="10"/>
  <c r="L45" i="11"/>
  <c r="O45" i="11" s="1"/>
  <c r="L98" i="11"/>
  <c r="K164" i="11"/>
  <c r="K419" i="11"/>
  <c r="K564" i="11"/>
  <c r="K401" i="12"/>
  <c r="O404" i="12"/>
  <c r="K416" i="12"/>
  <c r="K432" i="12"/>
  <c r="K611" i="12"/>
  <c r="N120" i="13"/>
  <c r="N118" i="13" s="1"/>
  <c r="K176" i="13"/>
  <c r="K235" i="13"/>
  <c r="N331" i="13"/>
  <c r="N329" i="13" s="1"/>
  <c r="K349" i="13"/>
  <c r="K377" i="13"/>
  <c r="O455" i="13"/>
  <c r="K465" i="13"/>
  <c r="K533" i="13"/>
  <c r="M142" i="14"/>
  <c r="M140" i="14" s="1"/>
  <c r="K149" i="14"/>
  <c r="N273" i="14"/>
  <c r="N271" i="14" s="1"/>
  <c r="L294" i="14"/>
  <c r="L292" i="14" s="1"/>
  <c r="O292" i="14" s="1"/>
  <c r="K401" i="14"/>
  <c r="K449" i="14"/>
  <c r="K474" i="14"/>
  <c r="K547" i="14"/>
  <c r="K624" i="14"/>
  <c r="P45" i="15"/>
  <c r="N120" i="15"/>
  <c r="N118" i="15" s="1"/>
  <c r="P294" i="15"/>
  <c r="K309" i="15"/>
  <c r="P314" i="15"/>
  <c r="K375" i="15"/>
  <c r="O404" i="15"/>
  <c r="K417" i="15"/>
  <c r="K482" i="15"/>
  <c r="O537" i="15"/>
  <c r="K631" i="15"/>
  <c r="O354" i="2"/>
  <c r="L34" i="2"/>
  <c r="L354" i="1"/>
  <c r="K429" i="2"/>
  <c r="I429" i="1"/>
  <c r="I488" i="1"/>
  <c r="K488" i="1" s="1"/>
  <c r="K488" i="2"/>
  <c r="K579" i="2"/>
  <c r="I579" i="1"/>
  <c r="K579" i="1" s="1"/>
  <c r="O279" i="2"/>
  <c r="L279" i="1"/>
  <c r="O279" i="1" s="1"/>
  <c r="K402" i="2"/>
  <c r="I402" i="1"/>
  <c r="I422" i="1"/>
  <c r="K422" i="2"/>
  <c r="I485" i="1"/>
  <c r="K485" i="1" s="1"/>
  <c r="K485" i="2"/>
  <c r="I344" i="1"/>
  <c r="K344" i="1" s="1"/>
  <c r="K344" i="2"/>
  <c r="K398" i="2"/>
  <c r="J398" i="1"/>
  <c r="I478" i="1"/>
  <c r="K478" i="1" s="1"/>
  <c r="K478" i="2"/>
  <c r="L385" i="1"/>
  <c r="O385" i="2"/>
  <c r="K471" i="2"/>
  <c r="I471" i="1"/>
  <c r="K471" i="1" s="1"/>
  <c r="K561" i="2"/>
  <c r="I561" i="1"/>
  <c r="K561" i="1" s="1"/>
  <c r="N31" i="2"/>
  <c r="N29" i="2" s="1"/>
  <c r="N565" i="1"/>
  <c r="O599" i="2"/>
  <c r="N599" i="1"/>
  <c r="P314" i="2"/>
  <c r="M314" i="1"/>
  <c r="I341" i="1"/>
  <c r="K341" i="2"/>
  <c r="O458" i="2"/>
  <c r="L458" i="1"/>
  <c r="O458" i="1" s="1"/>
  <c r="L33" i="2"/>
  <c r="O33" i="2" s="1"/>
  <c r="K468" i="2"/>
  <c r="I468" i="1"/>
  <c r="K468" i="1" s="1"/>
  <c r="K497" i="2"/>
  <c r="J497" i="1"/>
  <c r="I597" i="1"/>
  <c r="K597" i="2"/>
  <c r="I270" i="1"/>
  <c r="K270" i="2"/>
  <c r="I309" i="1"/>
  <c r="K309" i="2"/>
  <c r="K491" i="2"/>
  <c r="I491" i="1"/>
  <c r="K491" i="1" s="1"/>
  <c r="K368" i="2"/>
  <c r="I368" i="1"/>
  <c r="K432" i="2"/>
  <c r="I432" i="1"/>
  <c r="O439" i="2"/>
  <c r="L439" i="1"/>
  <c r="L536" i="1"/>
  <c r="O536" i="1" s="1"/>
  <c r="O536" i="2"/>
  <c r="L24" i="2"/>
  <c r="M298" i="2"/>
  <c r="M292" i="2" s="1"/>
  <c r="M290" i="2" s="1"/>
  <c r="L314" i="2"/>
  <c r="K324" i="2"/>
  <c r="K419" i="2"/>
  <c r="K449" i="2"/>
  <c r="O459" i="2"/>
  <c r="K482" i="2"/>
  <c r="K564" i="2"/>
  <c r="O566" i="2"/>
  <c r="K201" i="3"/>
  <c r="P292" i="3"/>
  <c r="K345" i="3"/>
  <c r="I369" i="1"/>
  <c r="K369" i="1" s="1"/>
  <c r="J418" i="1"/>
  <c r="N32" i="3"/>
  <c r="N30" i="3" s="1"/>
  <c r="J543" i="1"/>
  <c r="J548" i="1"/>
  <c r="M102" i="5"/>
  <c r="P102" i="5" s="1"/>
  <c r="O102" i="5"/>
  <c r="K396" i="3"/>
  <c r="K432" i="3"/>
  <c r="K473" i="3"/>
  <c r="K621" i="3"/>
  <c r="P45" i="4"/>
  <c r="K92" i="4"/>
  <c r="L254" i="4"/>
  <c r="O457" i="4"/>
  <c r="N55" i="2"/>
  <c r="N53" i="2" s="1"/>
  <c r="N252" i="2"/>
  <c r="N250" i="2" s="1"/>
  <c r="N273" i="2"/>
  <c r="N271" i="2" s="1"/>
  <c r="K306" i="2"/>
  <c r="O404" i="2"/>
  <c r="K416" i="2"/>
  <c r="K420" i="2"/>
  <c r="K427" i="2"/>
  <c r="K466" i="2"/>
  <c r="K621" i="2"/>
  <c r="K92" i="3"/>
  <c r="K110" i="3"/>
  <c r="K149" i="3"/>
  <c r="K289" i="3"/>
  <c r="O352" i="3"/>
  <c r="K564" i="3"/>
  <c r="O566" i="3"/>
  <c r="K634" i="3"/>
  <c r="L23" i="4"/>
  <c r="O23" i="4" s="1"/>
  <c r="L24" i="7"/>
  <c r="O24" i="7" s="1"/>
  <c r="L26" i="2"/>
  <c r="L16" i="2" s="1"/>
  <c r="L254" i="2"/>
  <c r="O254" i="2" s="1"/>
  <c r="P275" i="2"/>
  <c r="N312" i="2"/>
  <c r="N310" i="2" s="1"/>
  <c r="K111" i="3"/>
  <c r="O126" i="3"/>
  <c r="K266" i="3"/>
  <c r="L275" i="3"/>
  <c r="O275" i="3" s="1"/>
  <c r="P314" i="3"/>
  <c r="K328" i="3"/>
  <c r="O404" i="3"/>
  <c r="K430" i="3"/>
  <c r="K449" i="3"/>
  <c r="K474" i="3"/>
  <c r="K631" i="3"/>
  <c r="K380" i="4"/>
  <c r="N31" i="4"/>
  <c r="N11" i="4" s="1"/>
  <c r="N9" i="4" s="1"/>
  <c r="K164" i="2"/>
  <c r="P333" i="2"/>
  <c r="K340" i="2"/>
  <c r="K343" i="2"/>
  <c r="K421" i="2"/>
  <c r="K424" i="2"/>
  <c r="K428" i="2"/>
  <c r="N312" i="3"/>
  <c r="N310" i="3" s="1"/>
  <c r="M273" i="4"/>
  <c r="M271" i="4" s="1"/>
  <c r="P271" i="4" s="1"/>
  <c r="P275" i="4"/>
  <c r="O599" i="4"/>
  <c r="K111" i="5"/>
  <c r="P314" i="5"/>
  <c r="M312" i="5"/>
  <c r="P312" i="5" s="1"/>
  <c r="L23" i="2"/>
  <c r="O23" i="2" s="1"/>
  <c r="N120" i="2"/>
  <c r="N118" i="2" s="1"/>
  <c r="K158" i="2"/>
  <c r="K200" i="2"/>
  <c r="O347" i="2"/>
  <c r="K381" i="2"/>
  <c r="O435" i="2"/>
  <c r="K474" i="2"/>
  <c r="K533" i="2"/>
  <c r="K111" i="4"/>
  <c r="O566" i="5"/>
  <c r="N32" i="5"/>
  <c r="N30" i="5" s="1"/>
  <c r="N380" i="1"/>
  <c r="K164" i="3"/>
  <c r="K189" i="3"/>
  <c r="L294" i="3"/>
  <c r="O294" i="3" s="1"/>
  <c r="L314" i="3"/>
  <c r="K424" i="3"/>
  <c r="K533" i="3"/>
  <c r="O568" i="3"/>
  <c r="K629" i="3"/>
  <c r="L98" i="4"/>
  <c r="K497" i="4"/>
  <c r="O436" i="5"/>
  <c r="L31" i="5"/>
  <c r="L11" i="5" s="1"/>
  <c r="N358" i="1"/>
  <c r="J448" i="1"/>
  <c r="K65" i="2"/>
  <c r="L224" i="2"/>
  <c r="L222" i="2" s="1"/>
  <c r="L220" i="2" s="1"/>
  <c r="K418" i="2"/>
  <c r="K425" i="2"/>
  <c r="K464" i="2"/>
  <c r="K481" i="2"/>
  <c r="O533" i="2"/>
  <c r="K620" i="2"/>
  <c r="K109" i="3"/>
  <c r="J209" i="1"/>
  <c r="J215" i="1"/>
  <c r="K324" i="3"/>
  <c r="K349" i="3"/>
  <c r="K375" i="3"/>
  <c r="N34" i="3"/>
  <c r="N14" i="3" s="1"/>
  <c r="P70" i="6"/>
  <c r="M68" i="6"/>
  <c r="P68" i="6" s="1"/>
  <c r="L353" i="1"/>
  <c r="O353" i="1" s="1"/>
  <c r="M252" i="7"/>
  <c r="P252" i="7" s="1"/>
  <c r="P254" i="7"/>
  <c r="N331" i="4"/>
  <c r="N329" i="4" s="1"/>
  <c r="O535" i="4"/>
  <c r="K611" i="4"/>
  <c r="K624" i="4"/>
  <c r="M140" i="5"/>
  <c r="L314" i="5"/>
  <c r="L312" i="5" s="1"/>
  <c r="O312" i="5" s="1"/>
  <c r="N331" i="6"/>
  <c r="N329" i="6" s="1"/>
  <c r="K402" i="6"/>
  <c r="K450" i="6"/>
  <c r="K482" i="6"/>
  <c r="L24" i="8"/>
  <c r="O24" i="8" s="1"/>
  <c r="M120" i="9"/>
  <c r="P120" i="9" s="1"/>
  <c r="P122" i="9"/>
  <c r="N68" i="4"/>
  <c r="N66" i="4" s="1"/>
  <c r="N142" i="4"/>
  <c r="N140" i="4" s="1"/>
  <c r="N222" i="4"/>
  <c r="N220" i="4" s="1"/>
  <c r="K235" i="4"/>
  <c r="L32" i="4"/>
  <c r="L30" i="4" s="1"/>
  <c r="O406" i="4"/>
  <c r="O439" i="4"/>
  <c r="K498" i="4"/>
  <c r="O564" i="4"/>
  <c r="K621" i="4"/>
  <c r="K173" i="5"/>
  <c r="K199" i="5"/>
  <c r="K421" i="5"/>
  <c r="K450" i="5"/>
  <c r="K466" i="5"/>
  <c r="K482" i="5"/>
  <c r="N222" i="6"/>
  <c r="N220" i="6" s="1"/>
  <c r="N252" i="6"/>
  <c r="N250" i="6" s="1"/>
  <c r="P294" i="6"/>
  <c r="M312" i="6"/>
  <c r="P312" i="6" s="1"/>
  <c r="O354" i="6"/>
  <c r="K422" i="6"/>
  <c r="K425" i="6"/>
  <c r="K621" i="6"/>
  <c r="K619" i="8"/>
  <c r="K611" i="8"/>
  <c r="K614" i="8"/>
  <c r="N120" i="4"/>
  <c r="N118" i="4" s="1"/>
  <c r="K265" i="4"/>
  <c r="K377" i="4"/>
  <c r="K464" i="4"/>
  <c r="O533" i="4"/>
  <c r="P70" i="5"/>
  <c r="K109" i="5"/>
  <c r="K204" i="5"/>
  <c r="P224" i="5"/>
  <c r="N252" i="5"/>
  <c r="N250" i="5" s="1"/>
  <c r="K455" i="5"/>
  <c r="O457" i="5"/>
  <c r="L224" i="6"/>
  <c r="L222" i="6" s="1"/>
  <c r="K328" i="6"/>
  <c r="K380" i="6"/>
  <c r="K429" i="6"/>
  <c r="N32" i="6"/>
  <c r="N30" i="6" s="1"/>
  <c r="K466" i="6"/>
  <c r="K473" i="6"/>
  <c r="K630" i="6"/>
  <c r="N55" i="7"/>
  <c r="N53" i="7" s="1"/>
  <c r="K370" i="7"/>
  <c r="K430" i="7"/>
  <c r="K435" i="7"/>
  <c r="P70" i="4"/>
  <c r="K616" i="4"/>
  <c r="K619" i="4"/>
  <c r="M22" i="5"/>
  <c r="M12" i="5" s="1"/>
  <c r="K621" i="5"/>
  <c r="N55" i="6"/>
  <c r="P55" i="6" s="1"/>
  <c r="N96" i="6"/>
  <c r="N94" i="6" s="1"/>
  <c r="I367" i="7"/>
  <c r="K367" i="7" s="1"/>
  <c r="K423" i="7"/>
  <c r="N34" i="8"/>
  <c r="N14" i="8" s="1"/>
  <c r="L122" i="4"/>
  <c r="K173" i="4"/>
  <c r="P224" i="4"/>
  <c r="K266" i="4"/>
  <c r="K340" i="4"/>
  <c r="K350" i="4"/>
  <c r="N33" i="4"/>
  <c r="N13" i="4" s="1"/>
  <c r="O401" i="4"/>
  <c r="O404" i="4"/>
  <c r="O459" i="4"/>
  <c r="K474" i="4"/>
  <c r="O601" i="4"/>
  <c r="L70" i="5"/>
  <c r="O70" i="5" s="1"/>
  <c r="N96" i="5"/>
  <c r="N94" i="5" s="1"/>
  <c r="K110" i="5"/>
  <c r="K176" i="5"/>
  <c r="P294" i="5"/>
  <c r="P333" i="5"/>
  <c r="O380" i="5"/>
  <c r="K593" i="5"/>
  <c r="K630" i="5"/>
  <c r="K164" i="6"/>
  <c r="O404" i="6"/>
  <c r="K430" i="6"/>
  <c r="K597" i="6"/>
  <c r="K635" i="6"/>
  <c r="L70" i="7"/>
  <c r="K328" i="7"/>
  <c r="O354" i="7"/>
  <c r="K416" i="7"/>
  <c r="K428" i="7"/>
  <c r="K622" i="7"/>
  <c r="K625" i="7"/>
  <c r="K620" i="7"/>
  <c r="P45" i="8"/>
  <c r="M43" i="8"/>
  <c r="M41" i="8" s="1"/>
  <c r="K133" i="8"/>
  <c r="M26" i="8"/>
  <c r="M16" i="8" s="1"/>
  <c r="P337" i="8"/>
  <c r="O337" i="8"/>
  <c r="N331" i="8"/>
  <c r="N329" i="8" s="1"/>
  <c r="K219" i="4"/>
  <c r="L314" i="4"/>
  <c r="L312" i="4" s="1"/>
  <c r="O312" i="4" s="1"/>
  <c r="O347" i="4"/>
  <c r="K368" i="4"/>
  <c r="K372" i="4"/>
  <c r="O385" i="4"/>
  <c r="K547" i="4"/>
  <c r="K617" i="4"/>
  <c r="K631" i="4"/>
  <c r="L34" i="5"/>
  <c r="O347" i="5"/>
  <c r="K381" i="5"/>
  <c r="O401" i="5"/>
  <c r="K597" i="5"/>
  <c r="K626" i="5"/>
  <c r="L45" i="6"/>
  <c r="L43" i="6" s="1"/>
  <c r="L275" i="6"/>
  <c r="L314" i="6"/>
  <c r="N33" i="6"/>
  <c r="N13" i="6" s="1"/>
  <c r="K417" i="6"/>
  <c r="K427" i="6"/>
  <c r="O437" i="6"/>
  <c r="K449" i="6"/>
  <c r="K623" i="6"/>
  <c r="L122" i="7"/>
  <c r="O122" i="7" s="1"/>
  <c r="K173" i="7"/>
  <c r="K199" i="7"/>
  <c r="K340" i="7"/>
  <c r="O380" i="7"/>
  <c r="K421" i="7"/>
  <c r="M68" i="8"/>
  <c r="P68" i="8" s="1"/>
  <c r="P70" i="8"/>
  <c r="M331" i="8"/>
  <c r="M329" i="8" s="1"/>
  <c r="P333" i="8"/>
  <c r="K450" i="8"/>
  <c r="K617" i="8"/>
  <c r="N22" i="9"/>
  <c r="N32" i="8"/>
  <c r="N30" i="8" s="1"/>
  <c r="N120" i="9"/>
  <c r="N118" i="9" s="1"/>
  <c r="N32" i="11"/>
  <c r="N30" i="11" s="1"/>
  <c r="P98" i="14"/>
  <c r="M96" i="14"/>
  <c r="P96" i="14" s="1"/>
  <c r="M22" i="14"/>
  <c r="M12" i="14" s="1"/>
  <c r="K632" i="6"/>
  <c r="N68" i="7"/>
  <c r="N66" i="7" s="1"/>
  <c r="L144" i="7"/>
  <c r="M292" i="7"/>
  <c r="P292" i="7" s="1"/>
  <c r="L314" i="7"/>
  <c r="O314" i="7" s="1"/>
  <c r="K417" i="7"/>
  <c r="O566" i="7"/>
  <c r="K612" i="7"/>
  <c r="P57" i="8"/>
  <c r="N120" i="8"/>
  <c r="N118" i="8" s="1"/>
  <c r="P144" i="8"/>
  <c r="P224" i="8"/>
  <c r="O349" i="8"/>
  <c r="K417" i="8"/>
  <c r="K420" i="8"/>
  <c r="K430" i="8"/>
  <c r="K435" i="8"/>
  <c r="K449" i="8"/>
  <c r="O535" i="8"/>
  <c r="O564" i="8"/>
  <c r="O568" i="8"/>
  <c r="K620" i="8"/>
  <c r="K632" i="8"/>
  <c r="P57" i="9"/>
  <c r="K88" i="9"/>
  <c r="K173" i="9"/>
  <c r="K219" i="9"/>
  <c r="L275" i="9"/>
  <c r="O275" i="9" s="1"/>
  <c r="N312" i="9"/>
  <c r="N310" i="9" s="1"/>
  <c r="K343" i="9"/>
  <c r="L34" i="10"/>
  <c r="L32" i="11"/>
  <c r="N22" i="12"/>
  <c r="O347" i="12"/>
  <c r="O554" i="10"/>
  <c r="L33" i="10"/>
  <c r="O33" i="10" s="1"/>
  <c r="P98" i="12"/>
  <c r="M22" i="12"/>
  <c r="M96" i="12"/>
  <c r="M94" i="12" s="1"/>
  <c r="O384" i="12"/>
  <c r="L33" i="12"/>
  <c r="O33" i="12" s="1"/>
  <c r="L33" i="13"/>
  <c r="O33" i="13" s="1"/>
  <c r="O353" i="13"/>
  <c r="O568" i="13"/>
  <c r="L34" i="13"/>
  <c r="K629" i="8"/>
  <c r="K189" i="9"/>
  <c r="K418" i="9"/>
  <c r="N43" i="10"/>
  <c r="N41" i="10" s="1"/>
  <c r="P45" i="10"/>
  <c r="P294" i="10"/>
  <c r="M292" i="10"/>
  <c r="L33" i="11"/>
  <c r="O33" i="11" s="1"/>
  <c r="M120" i="12"/>
  <c r="P120" i="12" s="1"/>
  <c r="P122" i="12"/>
  <c r="P45" i="13"/>
  <c r="N43" i="13"/>
  <c r="P43" i="13" s="1"/>
  <c r="N22" i="13"/>
  <c r="K432" i="7"/>
  <c r="M292" i="8"/>
  <c r="M290" i="8" s="1"/>
  <c r="P290" i="8" s="1"/>
  <c r="K341" i="8"/>
  <c r="K421" i="8"/>
  <c r="K625" i="8"/>
  <c r="N222" i="9"/>
  <c r="N220" i="9" s="1"/>
  <c r="K264" i="9"/>
  <c r="L294" i="9"/>
  <c r="O294" i="9" s="1"/>
  <c r="O354" i="9"/>
  <c r="N68" i="10"/>
  <c r="N66" i="10" s="1"/>
  <c r="P333" i="10"/>
  <c r="N331" i="10"/>
  <c r="N329" i="10" s="1"/>
  <c r="N33" i="10"/>
  <c r="N13" i="10" s="1"/>
  <c r="N120" i="11"/>
  <c r="N118" i="11" s="1"/>
  <c r="L45" i="7"/>
  <c r="K149" i="7"/>
  <c r="K189" i="7"/>
  <c r="N292" i="7"/>
  <c r="N290" i="7" s="1"/>
  <c r="L333" i="7"/>
  <c r="L331" i="7" s="1"/>
  <c r="K341" i="7"/>
  <c r="K345" i="7"/>
  <c r="K368" i="7"/>
  <c r="K380" i="7"/>
  <c r="O385" i="7"/>
  <c r="K426" i="7"/>
  <c r="O437" i="7"/>
  <c r="O455" i="7"/>
  <c r="K465" i="7"/>
  <c r="O564" i="7"/>
  <c r="K617" i="7"/>
  <c r="K158" i="8"/>
  <c r="K219" i="8"/>
  <c r="K370" i="8"/>
  <c r="O383" i="8"/>
  <c r="K401" i="8"/>
  <c r="K615" i="8"/>
  <c r="L31" i="9"/>
  <c r="L11" i="9" s="1"/>
  <c r="K112" i="9"/>
  <c r="L122" i="9"/>
  <c r="O122" i="9" s="1"/>
  <c r="K341" i="9"/>
  <c r="O352" i="9"/>
  <c r="O383" i="9"/>
  <c r="K396" i="9"/>
  <c r="K401" i="9"/>
  <c r="O535" i="9"/>
  <c r="K424" i="10"/>
  <c r="O435" i="11"/>
  <c r="O352" i="12"/>
  <c r="L32" i="12"/>
  <c r="K138" i="7"/>
  <c r="K219" i="7"/>
  <c r="N273" i="7"/>
  <c r="N271" i="7" s="1"/>
  <c r="O337" i="7"/>
  <c r="O352" i="7"/>
  <c r="K401" i="7"/>
  <c r="O599" i="7"/>
  <c r="K633" i="7"/>
  <c r="K397" i="8"/>
  <c r="L34" i="8"/>
  <c r="K464" i="8"/>
  <c r="K612" i="8"/>
  <c r="K113" i="9"/>
  <c r="O337" i="9"/>
  <c r="K416" i="9"/>
  <c r="K420" i="9"/>
  <c r="N68" i="11"/>
  <c r="N66" i="11" s="1"/>
  <c r="N22" i="11"/>
  <c r="N33" i="11"/>
  <c r="N13" i="11" s="1"/>
  <c r="N252" i="8"/>
  <c r="N250" i="8" s="1"/>
  <c r="N312" i="8"/>
  <c r="N310" i="8" s="1"/>
  <c r="K423" i="8"/>
  <c r="N31" i="8"/>
  <c r="N29" i="8" s="1"/>
  <c r="K547" i="8"/>
  <c r="K573" i="8"/>
  <c r="N68" i="9"/>
  <c r="P68" i="9" s="1"/>
  <c r="K110" i="9"/>
  <c r="L144" i="9"/>
  <c r="O144" i="9" s="1"/>
  <c r="K249" i="9"/>
  <c r="K397" i="9"/>
  <c r="K466" i="9"/>
  <c r="N31" i="10"/>
  <c r="K619" i="10"/>
  <c r="K614" i="10"/>
  <c r="K149" i="11"/>
  <c r="O383" i="11"/>
  <c r="L144" i="12"/>
  <c r="N26" i="13"/>
  <c r="N16" i="13" s="1"/>
  <c r="K422" i="9"/>
  <c r="O459" i="9"/>
  <c r="K481" i="9"/>
  <c r="K580" i="9"/>
  <c r="O597" i="9"/>
  <c r="K624" i="9"/>
  <c r="N222" i="10"/>
  <c r="N220" i="10" s="1"/>
  <c r="O383" i="10"/>
  <c r="K421" i="10"/>
  <c r="K235" i="11"/>
  <c r="P254" i="11"/>
  <c r="N292" i="11"/>
  <c r="N290" i="11" s="1"/>
  <c r="O347" i="11"/>
  <c r="K418" i="11"/>
  <c r="K425" i="11"/>
  <c r="O439" i="11"/>
  <c r="K464" i="11"/>
  <c r="O533" i="11"/>
  <c r="O597" i="11"/>
  <c r="O601" i="11"/>
  <c r="K620" i="11"/>
  <c r="K632" i="11"/>
  <c r="K92" i="12"/>
  <c r="K108" i="12"/>
  <c r="K112" i="12"/>
  <c r="K149" i="12"/>
  <c r="O349" i="12"/>
  <c r="K370" i="12"/>
  <c r="K425" i="12"/>
  <c r="K429" i="12"/>
  <c r="O439" i="12"/>
  <c r="N120" i="14"/>
  <c r="N118" i="14" s="1"/>
  <c r="M252" i="14"/>
  <c r="P252" i="14" s="1"/>
  <c r="P254" i="14"/>
  <c r="K341" i="10"/>
  <c r="K429" i="10"/>
  <c r="O601" i="10"/>
  <c r="L57" i="11"/>
  <c r="K158" i="11"/>
  <c r="L254" i="11"/>
  <c r="L252" i="11" s="1"/>
  <c r="O252" i="11" s="1"/>
  <c r="N34" i="11"/>
  <c r="K429" i="11"/>
  <c r="K617" i="11"/>
  <c r="K109" i="12"/>
  <c r="L254" i="12"/>
  <c r="L252" i="12" s="1"/>
  <c r="O252" i="12" s="1"/>
  <c r="L275" i="12"/>
  <c r="O275" i="12" s="1"/>
  <c r="K418" i="12"/>
  <c r="K422" i="12"/>
  <c r="O318" i="13"/>
  <c r="M318" i="13"/>
  <c r="P318" i="13" s="1"/>
  <c r="O533" i="9"/>
  <c r="L45" i="10"/>
  <c r="O45" i="10" s="1"/>
  <c r="P337" i="10"/>
  <c r="K349" i="10"/>
  <c r="O380" i="10"/>
  <c r="K418" i="10"/>
  <c r="K422" i="10"/>
  <c r="K449" i="10"/>
  <c r="O564" i="10"/>
  <c r="K617" i="10"/>
  <c r="K229" i="11"/>
  <c r="K341" i="11"/>
  <c r="K380" i="11"/>
  <c r="K426" i="11"/>
  <c r="K449" i="11"/>
  <c r="O459" i="11"/>
  <c r="K465" i="11"/>
  <c r="K481" i="11"/>
  <c r="K614" i="11"/>
  <c r="K633" i="11"/>
  <c r="L122" i="12"/>
  <c r="O122" i="12" s="1"/>
  <c r="K426" i="12"/>
  <c r="K430" i="12"/>
  <c r="O597" i="12"/>
  <c r="M252" i="13"/>
  <c r="P252" i="13" s="1"/>
  <c r="P254" i="13"/>
  <c r="L144" i="14"/>
  <c r="O144" i="14" s="1"/>
  <c r="L23" i="14"/>
  <c r="L24" i="14"/>
  <c r="L224" i="14"/>
  <c r="N55" i="15"/>
  <c r="N53" i="15" s="1"/>
  <c r="P57" i="15"/>
  <c r="P98" i="15"/>
  <c r="M96" i="15"/>
  <c r="P96" i="15" s="1"/>
  <c r="M22" i="15"/>
  <c r="M12" i="15" s="1"/>
  <c r="O298" i="15"/>
  <c r="M298" i="15"/>
  <c r="P298" i="15" s="1"/>
  <c r="L34" i="15"/>
  <c r="O406" i="15"/>
  <c r="K424" i="9"/>
  <c r="K450" i="9"/>
  <c r="O457" i="9"/>
  <c r="O537" i="9"/>
  <c r="K593" i="9"/>
  <c r="K631" i="9"/>
  <c r="L122" i="10"/>
  <c r="O337" i="10"/>
  <c r="K377" i="10"/>
  <c r="K402" i="10"/>
  <c r="O406" i="10"/>
  <c r="K634" i="10"/>
  <c r="P144" i="11"/>
  <c r="O380" i="11"/>
  <c r="K396" i="11"/>
  <c r="K430" i="11"/>
  <c r="K547" i="11"/>
  <c r="K611" i="11"/>
  <c r="P45" i="12"/>
  <c r="K199" i="12"/>
  <c r="K235" i="12"/>
  <c r="L24" i="12"/>
  <c r="O24" i="12" s="1"/>
  <c r="L314" i="12"/>
  <c r="O314" i="12" s="1"/>
  <c r="K368" i="12"/>
  <c r="K423" i="12"/>
  <c r="K427" i="12"/>
  <c r="O437" i="12"/>
  <c r="N31" i="9"/>
  <c r="N29" i="9" s="1"/>
  <c r="N142" i="10"/>
  <c r="N140" i="10" s="1"/>
  <c r="O385" i="10"/>
  <c r="K423" i="10"/>
  <c r="K435" i="10"/>
  <c r="M22" i="11"/>
  <c r="L70" i="11"/>
  <c r="L68" i="11" s="1"/>
  <c r="O68" i="11" s="1"/>
  <c r="L144" i="11"/>
  <c r="O144" i="11" s="1"/>
  <c r="L224" i="11"/>
  <c r="O224" i="11" s="1"/>
  <c r="L275" i="11"/>
  <c r="O275" i="11" s="1"/>
  <c r="K328" i="11"/>
  <c r="K397" i="11"/>
  <c r="O401" i="11"/>
  <c r="K420" i="11"/>
  <c r="K435" i="11"/>
  <c r="K450" i="11"/>
  <c r="O457" i="11"/>
  <c r="L24" i="13"/>
  <c r="O24" i="13" s="1"/>
  <c r="N31" i="13"/>
  <c r="N29" i="13" s="1"/>
  <c r="N26" i="14"/>
  <c r="N16" i="14" s="1"/>
  <c r="N43" i="14"/>
  <c r="P43" i="14" s="1"/>
  <c r="M68" i="14"/>
  <c r="P68" i="14" s="1"/>
  <c r="P70" i="14"/>
  <c r="N33" i="14"/>
  <c r="N13" i="14" s="1"/>
  <c r="K425" i="9"/>
  <c r="K428" i="9"/>
  <c r="O435" i="9"/>
  <c r="K464" i="9"/>
  <c r="K547" i="9"/>
  <c r="K564" i="9"/>
  <c r="K635" i="9"/>
  <c r="L144" i="10"/>
  <c r="K420" i="10"/>
  <c r="K427" i="10"/>
  <c r="K431" i="10"/>
  <c r="K597" i="10"/>
  <c r="P333" i="11"/>
  <c r="K343" i="11"/>
  <c r="K381" i="11"/>
  <c r="K417" i="11"/>
  <c r="K473" i="11"/>
  <c r="O564" i="11"/>
  <c r="O568" i="11"/>
  <c r="K612" i="11"/>
  <c r="L98" i="12"/>
  <c r="L96" i="12" s="1"/>
  <c r="K189" i="12"/>
  <c r="K200" i="12"/>
  <c r="K219" i="12"/>
  <c r="P224" i="12"/>
  <c r="M312" i="12"/>
  <c r="P312" i="12" s="1"/>
  <c r="K345" i="12"/>
  <c r="K428" i="12"/>
  <c r="O566" i="12"/>
  <c r="O436" i="14"/>
  <c r="L31" i="14"/>
  <c r="O31" i="14" s="1"/>
  <c r="M142" i="15"/>
  <c r="M140" i="15" s="1"/>
  <c r="P144" i="15"/>
  <c r="K613" i="15"/>
  <c r="K450" i="12"/>
  <c r="K498" i="12"/>
  <c r="L70" i="13"/>
  <c r="L68" i="13" s="1"/>
  <c r="O68" i="13" s="1"/>
  <c r="K158" i="13"/>
  <c r="K200" i="13"/>
  <c r="K324" i="13"/>
  <c r="K343" i="13"/>
  <c r="K381" i="13"/>
  <c r="O435" i="13"/>
  <c r="O580" i="13"/>
  <c r="K589" i="13"/>
  <c r="K617" i="13"/>
  <c r="K614" i="13"/>
  <c r="N66" i="14"/>
  <c r="N96" i="14"/>
  <c r="N94" i="14" s="1"/>
  <c r="N252" i="14"/>
  <c r="N250" i="14" s="1"/>
  <c r="L275" i="14"/>
  <c r="O275" i="14" s="1"/>
  <c r="K466" i="14"/>
  <c r="K473" i="14"/>
  <c r="O597" i="14"/>
  <c r="K635" i="14"/>
  <c r="K132" i="15"/>
  <c r="M273" i="15"/>
  <c r="L275" i="15"/>
  <c r="L273" i="15" s="1"/>
  <c r="L314" i="15"/>
  <c r="O314" i="15" s="1"/>
  <c r="K372" i="15"/>
  <c r="K429" i="15"/>
  <c r="O435" i="15"/>
  <c r="K499" i="15"/>
  <c r="O597" i="15"/>
  <c r="O601" i="15"/>
  <c r="N55" i="14"/>
  <c r="N53" i="14" s="1"/>
  <c r="K186" i="13"/>
  <c r="N252" i="13"/>
  <c r="N250" i="13" s="1"/>
  <c r="P275" i="13"/>
  <c r="O354" i="13"/>
  <c r="K368" i="13"/>
  <c r="K375" i="13"/>
  <c r="K422" i="13"/>
  <c r="K499" i="13"/>
  <c r="K597" i="13"/>
  <c r="K611" i="13"/>
  <c r="L98" i="14"/>
  <c r="O98" i="14" s="1"/>
  <c r="P122" i="14"/>
  <c r="K189" i="14"/>
  <c r="L254" i="14"/>
  <c r="O254" i="14" s="1"/>
  <c r="N312" i="14"/>
  <c r="N310" i="14" s="1"/>
  <c r="K621" i="14"/>
  <c r="L144" i="15"/>
  <c r="L142" i="15" s="1"/>
  <c r="N252" i="15"/>
  <c r="N250" i="15" s="1"/>
  <c r="O455" i="15"/>
  <c r="P57" i="14"/>
  <c r="O148" i="14"/>
  <c r="K396" i="14"/>
  <c r="K416" i="14"/>
  <c r="K420" i="14"/>
  <c r="K427" i="14"/>
  <c r="K435" i="14"/>
  <c r="K533" i="14"/>
  <c r="N26" i="15"/>
  <c r="N16" i="15" s="1"/>
  <c r="K377" i="15"/>
  <c r="K416" i="15"/>
  <c r="O459" i="15"/>
  <c r="K547" i="12"/>
  <c r="O564" i="12"/>
  <c r="K613" i="12"/>
  <c r="P144" i="13"/>
  <c r="N222" i="13"/>
  <c r="N220" i="13" s="1"/>
  <c r="L254" i="13"/>
  <c r="O254" i="13" s="1"/>
  <c r="L275" i="13"/>
  <c r="O275" i="13" s="1"/>
  <c r="M337" i="13"/>
  <c r="P337" i="13" s="1"/>
  <c r="K372" i="13"/>
  <c r="K376" i="13"/>
  <c r="K401" i="13"/>
  <c r="O459" i="13"/>
  <c r="K547" i="13"/>
  <c r="O582" i="13"/>
  <c r="O597" i="13"/>
  <c r="K619" i="13"/>
  <c r="K628" i="13"/>
  <c r="L32" i="14"/>
  <c r="L34" i="14"/>
  <c r="L45" i="14"/>
  <c r="O45" i="14" s="1"/>
  <c r="K164" i="14"/>
  <c r="P224" i="14"/>
  <c r="N292" i="14"/>
  <c r="N290" i="14" s="1"/>
  <c r="L314" i="14"/>
  <c r="L312" i="14" s="1"/>
  <c r="O337" i="14"/>
  <c r="K625" i="14"/>
  <c r="K249" i="15"/>
  <c r="N292" i="15"/>
  <c r="N290" i="15" s="1"/>
  <c r="P333" i="15"/>
  <c r="K427" i="15"/>
  <c r="O437" i="15"/>
  <c r="K450" i="15"/>
  <c r="K616" i="13"/>
  <c r="K625" i="13"/>
  <c r="N222" i="14"/>
  <c r="N220" i="14" s="1"/>
  <c r="N331" i="14"/>
  <c r="N329" i="14" s="1"/>
  <c r="O439" i="14"/>
  <c r="K455" i="14"/>
  <c r="O599" i="14"/>
  <c r="N331" i="15"/>
  <c r="N329" i="15" s="1"/>
  <c r="N33" i="15"/>
  <c r="N13" i="15" s="1"/>
  <c r="K449" i="12"/>
  <c r="O459" i="12"/>
  <c r="K497" i="12"/>
  <c r="K597" i="12"/>
  <c r="K635" i="12"/>
  <c r="N273" i="13"/>
  <c r="P273" i="13" s="1"/>
  <c r="K306" i="13"/>
  <c r="K427" i="13"/>
  <c r="K430" i="13"/>
  <c r="K435" i="13"/>
  <c r="O564" i="13"/>
  <c r="K573" i="13"/>
  <c r="O601" i="13"/>
  <c r="P275" i="14"/>
  <c r="K397" i="14"/>
  <c r="K417" i="14"/>
  <c r="O455" i="14"/>
  <c r="O459" i="14"/>
  <c r="K465" i="14"/>
  <c r="K634" i="14"/>
  <c r="L70" i="15"/>
  <c r="O70" i="15" s="1"/>
  <c r="K229" i="15"/>
  <c r="K267" i="15"/>
  <c r="L333" i="15"/>
  <c r="L331" i="15" s="1"/>
  <c r="O347" i="15"/>
  <c r="O354" i="15"/>
  <c r="K402" i="15"/>
  <c r="O533" i="15"/>
  <c r="K623" i="15"/>
  <c r="O19" i="2"/>
  <c r="O42" i="1"/>
  <c r="L19" i="1"/>
  <c r="P19" i="2"/>
  <c r="O25" i="1"/>
  <c r="L15" i="1"/>
  <c r="O15" i="1" s="1"/>
  <c r="O54" i="1"/>
  <c r="N19" i="1"/>
  <c r="P221" i="4"/>
  <c r="M30" i="1"/>
  <c r="L401" i="1"/>
  <c r="M14" i="2"/>
  <c r="P14" i="2" s="1"/>
  <c r="O21" i="2"/>
  <c r="N26" i="2"/>
  <c r="M66" i="2"/>
  <c r="L24" i="3"/>
  <c r="L224" i="3"/>
  <c r="L32" i="3"/>
  <c r="O383" i="3"/>
  <c r="P11" i="4"/>
  <c r="P29" i="4"/>
  <c r="M28" i="4"/>
  <c r="P28" i="4" s="1"/>
  <c r="N26" i="4"/>
  <c r="N16" i="4" s="1"/>
  <c r="P102" i="4"/>
  <c r="O102" i="4"/>
  <c r="O95" i="2"/>
  <c r="P144" i="4"/>
  <c r="M142" i="4"/>
  <c r="L33" i="6"/>
  <c r="O33" i="6" s="1"/>
  <c r="O353" i="6"/>
  <c r="M9" i="1"/>
  <c r="N61" i="1"/>
  <c r="I201" i="1"/>
  <c r="K201" i="1" s="1"/>
  <c r="I340" i="1"/>
  <c r="N353" i="1"/>
  <c r="N401" i="1"/>
  <c r="N457" i="1"/>
  <c r="I476" i="1"/>
  <c r="K476" i="1" s="1"/>
  <c r="I492" i="1"/>
  <c r="K492" i="1" s="1"/>
  <c r="I508" i="1"/>
  <c r="K508" i="1" s="1"/>
  <c r="N568" i="1"/>
  <c r="M11" i="2"/>
  <c r="M29" i="2"/>
  <c r="N32" i="2"/>
  <c r="M53" i="2"/>
  <c r="K219" i="2"/>
  <c r="P19" i="3"/>
  <c r="O25" i="3"/>
  <c r="L15" i="3"/>
  <c r="O15" i="3" s="1"/>
  <c r="L19" i="3"/>
  <c r="K81" i="3"/>
  <c r="P98" i="3"/>
  <c r="M96" i="3"/>
  <c r="M22" i="3"/>
  <c r="P144" i="3"/>
  <c r="M142" i="3"/>
  <c r="O380" i="3"/>
  <c r="K426" i="3"/>
  <c r="K618" i="3"/>
  <c r="K615" i="3"/>
  <c r="K612" i="3"/>
  <c r="K617" i="3"/>
  <c r="K614" i="3"/>
  <c r="K619" i="3"/>
  <c r="K611" i="3"/>
  <c r="K616" i="3"/>
  <c r="L34" i="4"/>
  <c r="P98" i="4"/>
  <c r="M96" i="4"/>
  <c r="M22" i="4"/>
  <c r="K369" i="3"/>
  <c r="I367" i="3"/>
  <c r="K367" i="3" s="1"/>
  <c r="L24" i="4"/>
  <c r="L224" i="4"/>
  <c r="M14" i="1"/>
  <c r="P14" i="1" s="1"/>
  <c r="O21" i="1"/>
  <c r="M144" i="1"/>
  <c r="M43" i="2"/>
  <c r="P45" i="2"/>
  <c r="O337" i="2"/>
  <c r="M337" i="2"/>
  <c r="M331" i="2" s="1"/>
  <c r="K369" i="2"/>
  <c r="I367" i="2"/>
  <c r="K367" i="2" s="1"/>
  <c r="K133" i="3"/>
  <c r="K377" i="3"/>
  <c r="O534" i="3"/>
  <c r="L31" i="3"/>
  <c r="O599" i="3"/>
  <c r="N55" i="4"/>
  <c r="N53" i="4" s="1"/>
  <c r="P53" i="4" s="1"/>
  <c r="N22" i="4"/>
  <c r="P57" i="4"/>
  <c r="N96" i="4"/>
  <c r="N94" i="4" s="1"/>
  <c r="O330" i="4"/>
  <c r="O598" i="4"/>
  <c r="L31" i="4"/>
  <c r="L95" i="1"/>
  <c r="O95" i="1" s="1"/>
  <c r="I158" i="1"/>
  <c r="I498" i="1"/>
  <c r="M22" i="2"/>
  <c r="N34" i="2"/>
  <c r="N68" i="2"/>
  <c r="N55" i="3"/>
  <c r="P55" i="3" s="1"/>
  <c r="N22" i="3"/>
  <c r="P57" i="3"/>
  <c r="O330" i="3"/>
  <c r="K85" i="2"/>
  <c r="O318" i="2"/>
  <c r="M318" i="2"/>
  <c r="M312" i="2" s="1"/>
  <c r="K173" i="3"/>
  <c r="K398" i="3"/>
  <c r="K465" i="3"/>
  <c r="K481" i="3"/>
  <c r="K497" i="3"/>
  <c r="L33" i="3"/>
  <c r="O33" i="3" s="1"/>
  <c r="O554" i="3"/>
  <c r="O25" i="4"/>
  <c r="L15" i="4"/>
  <c r="O15" i="4" s="1"/>
  <c r="L19" i="4"/>
  <c r="P254" i="4"/>
  <c r="M252" i="4"/>
  <c r="M310" i="4"/>
  <c r="P310" i="4" s="1"/>
  <c r="P312" i="4"/>
  <c r="P221" i="3"/>
  <c r="M220" i="3"/>
  <c r="P220" i="3" s="1"/>
  <c r="M13" i="1"/>
  <c r="P13" i="1" s="1"/>
  <c r="I213" i="1"/>
  <c r="P144" i="2"/>
  <c r="M142" i="2"/>
  <c r="P221" i="2"/>
  <c r="K618" i="2"/>
  <c r="K615" i="2"/>
  <c r="K612" i="2"/>
  <c r="K617" i="2"/>
  <c r="K614" i="2"/>
  <c r="K619" i="2"/>
  <c r="K611" i="2"/>
  <c r="K616" i="2"/>
  <c r="M9" i="3"/>
  <c r="P11" i="3"/>
  <c r="M26" i="3"/>
  <c r="P102" i="3"/>
  <c r="P122" i="3"/>
  <c r="N120" i="3"/>
  <c r="P254" i="3"/>
  <c r="M252" i="3"/>
  <c r="M271" i="3"/>
  <c r="M66" i="4"/>
  <c r="P66" i="4" s="1"/>
  <c r="P68" i="4"/>
  <c r="L226" i="1"/>
  <c r="L334" i="1"/>
  <c r="P294" i="2"/>
  <c r="N292" i="2"/>
  <c r="P29" i="3"/>
  <c r="M28" i="3"/>
  <c r="P28" i="3" s="1"/>
  <c r="P70" i="3"/>
  <c r="N68" i="3"/>
  <c r="N66" i="3" s="1"/>
  <c r="N26" i="3"/>
  <c r="N96" i="3"/>
  <c r="N94" i="3" s="1"/>
  <c r="P275" i="3"/>
  <c r="N273" i="3"/>
  <c r="K418" i="3"/>
  <c r="O457" i="3"/>
  <c r="M271" i="2"/>
  <c r="M43" i="3"/>
  <c r="O102" i="3"/>
  <c r="K624" i="3"/>
  <c r="K424" i="4"/>
  <c r="M53" i="5"/>
  <c r="P54" i="5"/>
  <c r="P330" i="5"/>
  <c r="O459" i="5"/>
  <c r="N34" i="5"/>
  <c r="N14" i="5" s="1"/>
  <c r="O459" i="7"/>
  <c r="L34" i="7"/>
  <c r="O535" i="7"/>
  <c r="N32" i="7"/>
  <c r="N30" i="7" s="1"/>
  <c r="O95" i="9"/>
  <c r="K622" i="2"/>
  <c r="K622" i="3"/>
  <c r="M19" i="4"/>
  <c r="M337" i="4"/>
  <c r="L23" i="5"/>
  <c r="L45" i="5"/>
  <c r="P29" i="6"/>
  <c r="M94" i="2"/>
  <c r="M252" i="2"/>
  <c r="K625" i="2"/>
  <c r="N19" i="3"/>
  <c r="K625" i="3"/>
  <c r="M15" i="4"/>
  <c r="P15" i="4" s="1"/>
  <c r="I367" i="4"/>
  <c r="K367" i="4" s="1"/>
  <c r="O383" i="4"/>
  <c r="N22" i="6"/>
  <c r="N43" i="6"/>
  <c r="N41" i="6" s="1"/>
  <c r="O19" i="7"/>
  <c r="L45" i="3"/>
  <c r="M290" i="3"/>
  <c r="K620" i="3"/>
  <c r="L26" i="4"/>
  <c r="L45" i="4"/>
  <c r="M222" i="4"/>
  <c r="M220" i="4" s="1"/>
  <c r="M290" i="4"/>
  <c r="P290" i="4" s="1"/>
  <c r="K432" i="4"/>
  <c r="K623" i="2"/>
  <c r="M310" i="3"/>
  <c r="K623" i="3"/>
  <c r="O537" i="4"/>
  <c r="O597" i="4"/>
  <c r="N55" i="5"/>
  <c r="N22" i="5"/>
  <c r="P57" i="5"/>
  <c r="K369" i="6"/>
  <c r="I367" i="6"/>
  <c r="K367" i="6" s="1"/>
  <c r="L32" i="6"/>
  <c r="O383" i="6"/>
  <c r="M66" i="3"/>
  <c r="M118" i="3"/>
  <c r="O455" i="4"/>
  <c r="M19" i="5"/>
  <c r="M11" i="5"/>
  <c r="P254" i="6"/>
  <c r="M252" i="6"/>
  <c r="O330" i="6"/>
  <c r="M30" i="7"/>
  <c r="P30" i="7" s="1"/>
  <c r="P32" i="7"/>
  <c r="K614" i="4"/>
  <c r="K622" i="4"/>
  <c r="N19" i="5"/>
  <c r="L26" i="5"/>
  <c r="O54" i="5"/>
  <c r="K93" i="5"/>
  <c r="P95" i="5"/>
  <c r="K138" i="5"/>
  <c r="P141" i="5"/>
  <c r="L144" i="5"/>
  <c r="K229" i="5"/>
  <c r="O337" i="5"/>
  <c r="M337" i="5"/>
  <c r="P337" i="5" s="1"/>
  <c r="K465" i="5"/>
  <c r="K481" i="5"/>
  <c r="K615" i="5"/>
  <c r="K612" i="5"/>
  <c r="K617" i="5"/>
  <c r="K614" i="5"/>
  <c r="K619" i="5"/>
  <c r="K611" i="5"/>
  <c r="K616" i="5"/>
  <c r="P54" i="6"/>
  <c r="M53" i="6"/>
  <c r="P144" i="6"/>
  <c r="M142" i="6"/>
  <c r="O380" i="6"/>
  <c r="O534" i="6"/>
  <c r="L31" i="6"/>
  <c r="O599" i="6"/>
  <c r="K615" i="6"/>
  <c r="K612" i="6"/>
  <c r="K617" i="6"/>
  <c r="K614" i="6"/>
  <c r="K619" i="6"/>
  <c r="K611" i="6"/>
  <c r="K616" i="6"/>
  <c r="K633" i="6"/>
  <c r="P57" i="7"/>
  <c r="M55" i="7"/>
  <c r="M22" i="7"/>
  <c r="P144" i="7"/>
  <c r="N142" i="7"/>
  <c r="N33" i="7"/>
  <c r="N13" i="7" s="1"/>
  <c r="O583" i="7"/>
  <c r="L33" i="7"/>
  <c r="O33" i="7" s="1"/>
  <c r="P42" i="8"/>
  <c r="L23" i="10"/>
  <c r="L275" i="10"/>
  <c r="K612" i="4"/>
  <c r="P67" i="5"/>
  <c r="M66" i="5"/>
  <c r="P66" i="5" s="1"/>
  <c r="P221" i="5"/>
  <c r="M220" i="5"/>
  <c r="N222" i="5"/>
  <c r="N220" i="5" s="1"/>
  <c r="O311" i="5"/>
  <c r="L26" i="6"/>
  <c r="O61" i="6"/>
  <c r="P275" i="6"/>
  <c r="M273" i="6"/>
  <c r="P29" i="7"/>
  <c r="M28" i="7"/>
  <c r="P28" i="7" s="1"/>
  <c r="K615" i="4"/>
  <c r="K623" i="4"/>
  <c r="K369" i="5"/>
  <c r="I367" i="5"/>
  <c r="K367" i="5" s="1"/>
  <c r="K398" i="5"/>
  <c r="O568" i="5"/>
  <c r="O25" i="6"/>
  <c r="L15" i="6"/>
  <c r="O15" i="6" s="1"/>
  <c r="L19" i="6"/>
  <c r="M16" i="6"/>
  <c r="N68" i="6"/>
  <c r="N66" i="6" s="1"/>
  <c r="P95" i="6"/>
  <c r="L24" i="6"/>
  <c r="L98" i="6"/>
  <c r="K173" i="6"/>
  <c r="K219" i="6"/>
  <c r="K398" i="6"/>
  <c r="M9" i="7"/>
  <c r="P11" i="7"/>
  <c r="N22" i="7"/>
  <c r="N43" i="7"/>
  <c r="N41" i="7" s="1"/>
  <c r="P41" i="7" s="1"/>
  <c r="P45" i="7"/>
  <c r="P70" i="7"/>
  <c r="M68" i="7"/>
  <c r="P29" i="8"/>
  <c r="M28" i="8"/>
  <c r="P28" i="8" s="1"/>
  <c r="M13" i="9"/>
  <c r="P13" i="9" s="1"/>
  <c r="P33" i="9"/>
  <c r="K618" i="4"/>
  <c r="M14" i="5"/>
  <c r="P14" i="5" s="1"/>
  <c r="N26" i="5"/>
  <c r="N16" i="5" s="1"/>
  <c r="L57" i="5"/>
  <c r="N31" i="5"/>
  <c r="K473" i="5"/>
  <c r="M9" i="6"/>
  <c r="P11" i="6"/>
  <c r="P122" i="6"/>
  <c r="M22" i="6"/>
  <c r="M120" i="6"/>
  <c r="N34" i="6"/>
  <c r="N14" i="6" s="1"/>
  <c r="K418" i="6"/>
  <c r="K465" i="6"/>
  <c r="O25" i="7"/>
  <c r="L15" i="7"/>
  <c r="O15" i="7" s="1"/>
  <c r="P122" i="7"/>
  <c r="M120" i="7"/>
  <c r="L24" i="5"/>
  <c r="O95" i="5"/>
  <c r="P119" i="5"/>
  <c r="M118" i="5"/>
  <c r="P118" i="5" s="1"/>
  <c r="P144" i="5"/>
  <c r="K149" i="5"/>
  <c r="O291" i="5"/>
  <c r="M30" i="6"/>
  <c r="P30" i="6" s="1"/>
  <c r="P32" i="6"/>
  <c r="O221" i="6"/>
  <c r="N31" i="6"/>
  <c r="M271" i="9"/>
  <c r="P271" i="9" s="1"/>
  <c r="P273" i="9"/>
  <c r="P29" i="5"/>
  <c r="M28" i="5"/>
  <c r="P28" i="5" s="1"/>
  <c r="P42" i="5"/>
  <c r="K92" i="5"/>
  <c r="P98" i="5"/>
  <c r="P291" i="5"/>
  <c r="M290" i="5"/>
  <c r="P290" i="5" s="1"/>
  <c r="O330" i="5"/>
  <c r="L333" i="5"/>
  <c r="O353" i="5"/>
  <c r="L33" i="5"/>
  <c r="O33" i="5" s="1"/>
  <c r="L32" i="5"/>
  <c r="O383" i="5"/>
  <c r="O437" i="5"/>
  <c r="O584" i="5"/>
  <c r="K613" i="5"/>
  <c r="P23" i="6"/>
  <c r="M13" i="6"/>
  <c r="P13" i="6" s="1"/>
  <c r="P45" i="6"/>
  <c r="P221" i="6"/>
  <c r="M329" i="6"/>
  <c r="O457" i="6"/>
  <c r="P23" i="7"/>
  <c r="M13" i="7"/>
  <c r="P13" i="7" s="1"/>
  <c r="O61" i="8"/>
  <c r="L26" i="8"/>
  <c r="P19" i="9"/>
  <c r="K624" i="5"/>
  <c r="M43" i="6"/>
  <c r="K624" i="6"/>
  <c r="L31" i="7"/>
  <c r="O221" i="7"/>
  <c r="P67" i="8"/>
  <c r="O95" i="8"/>
  <c r="P314" i="8"/>
  <c r="M312" i="8"/>
  <c r="P29" i="9"/>
  <c r="M28" i="9"/>
  <c r="P28" i="9" s="1"/>
  <c r="L24" i="9"/>
  <c r="N32" i="9"/>
  <c r="N30" i="9" s="1"/>
  <c r="P70" i="10"/>
  <c r="M68" i="10"/>
  <c r="N252" i="7"/>
  <c r="K632" i="7"/>
  <c r="L70" i="8"/>
  <c r="P95" i="8"/>
  <c r="N22" i="8"/>
  <c r="N292" i="8"/>
  <c r="N290" i="8" s="1"/>
  <c r="O352" i="8"/>
  <c r="L32" i="8"/>
  <c r="L33" i="8"/>
  <c r="O33" i="8" s="1"/>
  <c r="O567" i="8"/>
  <c r="P67" i="9"/>
  <c r="M66" i="9"/>
  <c r="L70" i="9"/>
  <c r="O224" i="9"/>
  <c r="P29" i="10"/>
  <c r="M28" i="10"/>
  <c r="P28" i="10" s="1"/>
  <c r="K622" i="5"/>
  <c r="K622" i="6"/>
  <c r="L19" i="8"/>
  <c r="O21" i="8"/>
  <c r="P24" i="8"/>
  <c r="M14" i="8"/>
  <c r="P14" i="8" s="1"/>
  <c r="N43" i="8"/>
  <c r="N26" i="8"/>
  <c r="N16" i="8" s="1"/>
  <c r="M22" i="8"/>
  <c r="P122" i="8"/>
  <c r="M120" i="8"/>
  <c r="O566" i="9"/>
  <c r="L32" i="9"/>
  <c r="K625" i="5"/>
  <c r="N19" i="6"/>
  <c r="P57" i="6"/>
  <c r="M96" i="6"/>
  <c r="P96" i="6" s="1"/>
  <c r="K625" i="6"/>
  <c r="P141" i="7"/>
  <c r="M140" i="7"/>
  <c r="M19" i="8"/>
  <c r="P21" i="8"/>
  <c r="M11" i="8"/>
  <c r="O54" i="8"/>
  <c r="L98" i="8"/>
  <c r="L23" i="8"/>
  <c r="P42" i="9"/>
  <c r="O49" i="9"/>
  <c r="L26" i="9"/>
  <c r="O141" i="9"/>
  <c r="O354" i="10"/>
  <c r="N34" i="10"/>
  <c r="N14" i="10" s="1"/>
  <c r="M271" i="5"/>
  <c r="P271" i="5" s="1"/>
  <c r="K620" i="5"/>
  <c r="M222" i="6"/>
  <c r="M290" i="6"/>
  <c r="P290" i="6" s="1"/>
  <c r="K620" i="6"/>
  <c r="L26" i="7"/>
  <c r="P275" i="7"/>
  <c r="M273" i="7"/>
  <c r="M13" i="8"/>
  <c r="P13" i="8" s="1"/>
  <c r="P33" i="8"/>
  <c r="P54" i="8"/>
  <c r="M53" i="8"/>
  <c r="L31" i="8"/>
  <c r="L11" i="8" s="1"/>
  <c r="P119" i="9"/>
  <c r="L23" i="6"/>
  <c r="L23" i="7"/>
  <c r="L32" i="7"/>
  <c r="P314" i="7"/>
  <c r="M312" i="7"/>
  <c r="K376" i="7"/>
  <c r="K547" i="7"/>
  <c r="L57" i="8"/>
  <c r="L19" i="9"/>
  <c r="O21" i="9"/>
  <c r="P24" i="9"/>
  <c r="M14" i="9"/>
  <c r="P14" i="9" s="1"/>
  <c r="O54" i="9"/>
  <c r="N22" i="10"/>
  <c r="N120" i="10"/>
  <c r="N118" i="10" s="1"/>
  <c r="P224" i="9"/>
  <c r="M222" i="9"/>
  <c r="O251" i="9"/>
  <c r="O272" i="9"/>
  <c r="K615" i="7"/>
  <c r="K623" i="7"/>
  <c r="M140" i="8"/>
  <c r="M250" i="8"/>
  <c r="P250" i="8" s="1"/>
  <c r="K623" i="8"/>
  <c r="L23" i="9"/>
  <c r="P11" i="10"/>
  <c r="P19" i="10"/>
  <c r="P57" i="10"/>
  <c r="M55" i="10"/>
  <c r="M22" i="10"/>
  <c r="N96" i="10"/>
  <c r="N94" i="10" s="1"/>
  <c r="P221" i="10"/>
  <c r="L24" i="10"/>
  <c r="L224" i="10"/>
  <c r="O298" i="11"/>
  <c r="L26" i="11"/>
  <c r="K618" i="7"/>
  <c r="K626" i="7"/>
  <c r="M273" i="8"/>
  <c r="O382" i="8"/>
  <c r="O439" i="8"/>
  <c r="K618" i="8"/>
  <c r="K626" i="8"/>
  <c r="N26" i="9"/>
  <c r="N16" i="9" s="1"/>
  <c r="M102" i="9"/>
  <c r="O25" i="10"/>
  <c r="L15" i="10"/>
  <c r="O15" i="10" s="1"/>
  <c r="P144" i="10"/>
  <c r="M142" i="10"/>
  <c r="M331" i="10"/>
  <c r="P311" i="11"/>
  <c r="K613" i="7"/>
  <c r="K621" i="7"/>
  <c r="K613" i="8"/>
  <c r="K621" i="8"/>
  <c r="M11" i="9"/>
  <c r="P21" i="9"/>
  <c r="M53" i="9"/>
  <c r="M140" i="9"/>
  <c r="M337" i="9"/>
  <c r="K369" i="9"/>
  <c r="I367" i="9"/>
  <c r="K367" i="9" s="1"/>
  <c r="K595" i="9"/>
  <c r="K616" i="9"/>
  <c r="P25" i="10"/>
  <c r="M15" i="10"/>
  <c r="P15" i="10" s="1"/>
  <c r="P254" i="10"/>
  <c r="M252" i="10"/>
  <c r="M337" i="7"/>
  <c r="K616" i="7"/>
  <c r="K624" i="7"/>
  <c r="K616" i="8"/>
  <c r="K624" i="8"/>
  <c r="M43" i="9"/>
  <c r="P291" i="9"/>
  <c r="P19" i="11"/>
  <c r="M22" i="9"/>
  <c r="K235" i="9"/>
  <c r="O311" i="9"/>
  <c r="L314" i="9"/>
  <c r="K429" i="9"/>
  <c r="O119" i="11"/>
  <c r="P311" i="9"/>
  <c r="O404" i="9"/>
  <c r="K618" i="9"/>
  <c r="K615" i="9"/>
  <c r="K612" i="9"/>
  <c r="K617" i="9"/>
  <c r="K614" i="9"/>
  <c r="K619" i="9"/>
  <c r="K611" i="9"/>
  <c r="N26" i="10"/>
  <c r="N16" i="10" s="1"/>
  <c r="N55" i="10"/>
  <c r="N53" i="10" s="1"/>
  <c r="K164" i="10"/>
  <c r="K624" i="10"/>
  <c r="K621" i="10"/>
  <c r="K626" i="10"/>
  <c r="K623" i="10"/>
  <c r="K620" i="10"/>
  <c r="K625" i="10"/>
  <c r="K622" i="10"/>
  <c r="L19" i="10"/>
  <c r="L24" i="11"/>
  <c r="P224" i="11"/>
  <c r="M222" i="11"/>
  <c r="K622" i="9"/>
  <c r="O42" i="11"/>
  <c r="K625" i="9"/>
  <c r="O291" i="10"/>
  <c r="O19" i="11"/>
  <c r="L31" i="11"/>
  <c r="L11" i="11" s="1"/>
  <c r="O351" i="11"/>
  <c r="K620" i="9"/>
  <c r="L26" i="10"/>
  <c r="M49" i="10"/>
  <c r="M222" i="10"/>
  <c r="P314" i="10"/>
  <c r="M312" i="10"/>
  <c r="M312" i="9"/>
  <c r="P312" i="9" s="1"/>
  <c r="K623" i="9"/>
  <c r="N312" i="10"/>
  <c r="M14" i="10"/>
  <c r="P14" i="10" s="1"/>
  <c r="M273" i="10"/>
  <c r="O272" i="11"/>
  <c r="P29" i="12"/>
  <c r="M28" i="12"/>
  <c r="P28" i="12" s="1"/>
  <c r="N222" i="12"/>
  <c r="N220" i="12" s="1"/>
  <c r="N26" i="12"/>
  <c r="N16" i="12" s="1"/>
  <c r="O21" i="12"/>
  <c r="L19" i="12"/>
  <c r="P33" i="12"/>
  <c r="M13" i="12"/>
  <c r="P13" i="12" s="1"/>
  <c r="K615" i="10"/>
  <c r="L23" i="11"/>
  <c r="P291" i="12"/>
  <c r="K618" i="10"/>
  <c r="M14" i="11"/>
  <c r="P14" i="11" s="1"/>
  <c r="O21" i="11"/>
  <c r="M292" i="11"/>
  <c r="P24" i="12"/>
  <c r="M14" i="12"/>
  <c r="P14" i="12" s="1"/>
  <c r="L294" i="12"/>
  <c r="O311" i="12"/>
  <c r="K613" i="10"/>
  <c r="M11" i="11"/>
  <c r="M140" i="11"/>
  <c r="M250" i="11"/>
  <c r="P250" i="11" s="1"/>
  <c r="P251" i="13"/>
  <c r="K616" i="10"/>
  <c r="M273" i="11"/>
  <c r="P273" i="11" s="1"/>
  <c r="P42" i="12"/>
  <c r="M53" i="12"/>
  <c r="I367" i="10"/>
  <c r="K367" i="10" s="1"/>
  <c r="K611" i="10"/>
  <c r="M13" i="11"/>
  <c r="P13" i="11" s="1"/>
  <c r="I367" i="11"/>
  <c r="K367" i="11" s="1"/>
  <c r="O49" i="12"/>
  <c r="M49" i="12"/>
  <c r="M43" i="12" s="1"/>
  <c r="L26" i="12"/>
  <c r="M140" i="12"/>
  <c r="K619" i="11"/>
  <c r="K621" i="12"/>
  <c r="K626" i="12"/>
  <c r="K623" i="12"/>
  <c r="K620" i="12"/>
  <c r="K625" i="12"/>
  <c r="K624" i="12"/>
  <c r="P19" i="13"/>
  <c r="M66" i="13"/>
  <c r="P66" i="13" s="1"/>
  <c r="P68" i="13"/>
  <c r="K229" i="13"/>
  <c r="K622" i="11"/>
  <c r="M19" i="12"/>
  <c r="O102" i="12"/>
  <c r="O42" i="13"/>
  <c r="L45" i="13"/>
  <c r="O67" i="13"/>
  <c r="K132" i="13"/>
  <c r="K285" i="13"/>
  <c r="K340" i="13"/>
  <c r="P9" i="13"/>
  <c r="O126" i="13"/>
  <c r="L26" i="13"/>
  <c r="P141" i="13"/>
  <c r="M140" i="13"/>
  <c r="K615" i="11"/>
  <c r="K623" i="11"/>
  <c r="L23" i="12"/>
  <c r="M329" i="12"/>
  <c r="L312" i="13"/>
  <c r="O351" i="13"/>
  <c r="L31" i="13"/>
  <c r="K618" i="11"/>
  <c r="K626" i="11"/>
  <c r="M222" i="12"/>
  <c r="P333" i="12"/>
  <c r="K381" i="12"/>
  <c r="K402" i="12"/>
  <c r="K533" i="12"/>
  <c r="K634" i="12"/>
  <c r="K416" i="13"/>
  <c r="K613" i="11"/>
  <c r="K621" i="11"/>
  <c r="M11" i="12"/>
  <c r="K622" i="12"/>
  <c r="N32" i="13"/>
  <c r="O383" i="13"/>
  <c r="O354" i="12"/>
  <c r="K419" i="12"/>
  <c r="L57" i="13"/>
  <c r="L23" i="13"/>
  <c r="P294" i="13"/>
  <c r="M292" i="13"/>
  <c r="M22" i="13"/>
  <c r="K616" i="12"/>
  <c r="N142" i="13"/>
  <c r="K619" i="12"/>
  <c r="K617" i="12"/>
  <c r="K432" i="13"/>
  <c r="P29" i="14"/>
  <c r="M28" i="14"/>
  <c r="P28" i="14" s="1"/>
  <c r="K612" i="12"/>
  <c r="P31" i="13"/>
  <c r="M118" i="13"/>
  <c r="M271" i="13"/>
  <c r="K615" i="12"/>
  <c r="K423" i="13"/>
  <c r="K618" i="12"/>
  <c r="O406" i="13"/>
  <c r="K424" i="13"/>
  <c r="K612" i="13"/>
  <c r="K620" i="13"/>
  <c r="P31" i="14"/>
  <c r="P333" i="14"/>
  <c r="K616" i="14"/>
  <c r="K613" i="14"/>
  <c r="K618" i="14"/>
  <c r="K615" i="14"/>
  <c r="K612" i="14"/>
  <c r="K617" i="14"/>
  <c r="K614" i="14"/>
  <c r="L31" i="15"/>
  <c r="L11" i="15" s="1"/>
  <c r="O534" i="15"/>
  <c r="K615" i="13"/>
  <c r="K623" i="13"/>
  <c r="O19" i="15"/>
  <c r="K189" i="15"/>
  <c r="K270" i="15"/>
  <c r="O337" i="15"/>
  <c r="M337" i="15"/>
  <c r="P337" i="15" s="1"/>
  <c r="K369" i="15"/>
  <c r="I367" i="15"/>
  <c r="K367" i="15" s="1"/>
  <c r="K618" i="13"/>
  <c r="K626" i="13"/>
  <c r="M41" i="14"/>
  <c r="M120" i="14"/>
  <c r="M273" i="14"/>
  <c r="K611" i="14"/>
  <c r="P119" i="15"/>
  <c r="M118" i="15"/>
  <c r="L32" i="15"/>
  <c r="O383" i="15"/>
  <c r="O554" i="15"/>
  <c r="L33" i="15"/>
  <c r="O33" i="15" s="1"/>
  <c r="O568" i="15"/>
  <c r="K613" i="13"/>
  <c r="K621" i="13"/>
  <c r="M11" i="14"/>
  <c r="M53" i="14"/>
  <c r="K619" i="14"/>
  <c r="L24" i="15"/>
  <c r="K266" i="15"/>
  <c r="O380" i="15"/>
  <c r="K618" i="15"/>
  <c r="K615" i="15"/>
  <c r="K612" i="15"/>
  <c r="K617" i="15"/>
  <c r="K614" i="15"/>
  <c r="K619" i="15"/>
  <c r="K611" i="15"/>
  <c r="K616" i="15"/>
  <c r="K624" i="13"/>
  <c r="M337" i="14"/>
  <c r="P19" i="15"/>
  <c r="O251" i="15"/>
  <c r="P272" i="15"/>
  <c r="K465" i="15"/>
  <c r="L23" i="15"/>
  <c r="L45" i="15"/>
  <c r="O141" i="15"/>
  <c r="M220" i="15"/>
  <c r="O599" i="15"/>
  <c r="K622" i="13"/>
  <c r="M222" i="14"/>
  <c r="O537" i="14"/>
  <c r="M29" i="15"/>
  <c r="M11" i="15"/>
  <c r="P31" i="15"/>
  <c r="M53" i="15"/>
  <c r="P224" i="15"/>
  <c r="N222" i="15"/>
  <c r="N220" i="15" s="1"/>
  <c r="L252" i="15"/>
  <c r="N32" i="15"/>
  <c r="N30" i="15" s="1"/>
  <c r="M15" i="14"/>
  <c r="P15" i="14" s="1"/>
  <c r="N15" i="15"/>
  <c r="N19" i="15"/>
  <c r="K117" i="15"/>
  <c r="O311" i="15"/>
  <c r="O457" i="15"/>
  <c r="K622" i="14"/>
  <c r="L15" i="15"/>
  <c r="O15" i="15" s="1"/>
  <c r="N22" i="15"/>
  <c r="K624" i="15"/>
  <c r="L26" i="15"/>
  <c r="K622" i="15"/>
  <c r="K623" i="14"/>
  <c r="M250" i="15"/>
  <c r="M310" i="15"/>
  <c r="K625" i="15"/>
  <c r="M14" i="15"/>
  <c r="P14" i="15" s="1"/>
  <c r="M41" i="15"/>
  <c r="K620" i="15"/>
  <c r="K422" i="1" l="1"/>
  <c r="P140" i="11"/>
  <c r="K398" i="1"/>
  <c r="L292" i="10"/>
  <c r="O292" i="10" s="1"/>
  <c r="M310" i="14"/>
  <c r="P310" i="14" s="1"/>
  <c r="O568" i="1"/>
  <c r="P142" i="11"/>
  <c r="K285" i="1"/>
  <c r="O439" i="1"/>
  <c r="O404" i="1"/>
  <c r="K93" i="1"/>
  <c r="K426" i="1"/>
  <c r="K423" i="1"/>
  <c r="O45" i="8"/>
  <c r="M96" i="5"/>
  <c r="M94" i="5" s="1"/>
  <c r="P94" i="5" s="1"/>
  <c r="L331" i="11"/>
  <c r="O331" i="11" s="1"/>
  <c r="L252" i="8"/>
  <c r="K593" i="1"/>
  <c r="P45" i="1"/>
  <c r="K431" i="1"/>
  <c r="P142" i="12"/>
  <c r="L292" i="4"/>
  <c r="O292" i="4" s="1"/>
  <c r="K341" i="1"/>
  <c r="P333" i="1"/>
  <c r="K350" i="1"/>
  <c r="N43" i="1"/>
  <c r="N41" i="1" s="1"/>
  <c r="L222" i="12"/>
  <c r="K112" i="1"/>
  <c r="P273" i="14"/>
  <c r="L94" i="15"/>
  <c r="O94" i="15" s="1"/>
  <c r="O98" i="15"/>
  <c r="P329" i="12"/>
  <c r="L11" i="12"/>
  <c r="L9" i="12" s="1"/>
  <c r="L96" i="10"/>
  <c r="O96" i="10" s="1"/>
  <c r="L331" i="14"/>
  <c r="L329" i="14" s="1"/>
  <c r="O329" i="14" s="1"/>
  <c r="O298" i="1"/>
  <c r="K498" i="1"/>
  <c r="K186" i="1"/>
  <c r="P43" i="4"/>
  <c r="L142" i="6"/>
  <c r="O142" i="6" s="1"/>
  <c r="M66" i="6"/>
  <c r="P66" i="6" s="1"/>
  <c r="O70" i="10"/>
  <c r="K432" i="1"/>
  <c r="L273" i="3"/>
  <c r="L271" i="3" s="1"/>
  <c r="K497" i="1"/>
  <c r="K173" i="1"/>
  <c r="P222" i="6"/>
  <c r="M312" i="13"/>
  <c r="P312" i="13" s="1"/>
  <c r="O57" i="4"/>
  <c r="K200" i="1"/>
  <c r="L292" i="7"/>
  <c r="L290" i="7" s="1"/>
  <c r="O290" i="7" s="1"/>
  <c r="K85" i="1"/>
  <c r="K450" i="1"/>
  <c r="L55" i="12"/>
  <c r="L53" i="12" s="1"/>
  <c r="O53" i="12" s="1"/>
  <c r="P43" i="9"/>
  <c r="K80" i="1"/>
  <c r="L222" i="7"/>
  <c r="O222" i="7" s="1"/>
  <c r="O435" i="1"/>
  <c r="L292" i="11"/>
  <c r="O292" i="11" s="1"/>
  <c r="M118" i="10"/>
  <c r="P118" i="10" s="1"/>
  <c r="M250" i="12"/>
  <c r="P250" i="12" s="1"/>
  <c r="L142" i="8"/>
  <c r="O142" i="8" s="1"/>
  <c r="K306" i="1"/>
  <c r="K158" i="1"/>
  <c r="K372" i="1"/>
  <c r="P273" i="15"/>
  <c r="K249" i="1"/>
  <c r="K349" i="1"/>
  <c r="L55" i="10"/>
  <c r="O55" i="10" s="1"/>
  <c r="L11" i="10"/>
  <c r="O11" i="10" s="1"/>
  <c r="K621" i="1"/>
  <c r="L29" i="12"/>
  <c r="O29" i="12" s="1"/>
  <c r="K564" i="1"/>
  <c r="K111" i="1"/>
  <c r="O57" i="15"/>
  <c r="O31" i="10"/>
  <c r="O294" i="13"/>
  <c r="K264" i="1"/>
  <c r="L68" i="6"/>
  <c r="O68" i="6" s="1"/>
  <c r="L331" i="6"/>
  <c r="O331" i="6" s="1"/>
  <c r="K381" i="1"/>
  <c r="K435" i="1"/>
  <c r="N11" i="13"/>
  <c r="N9" i="13" s="1"/>
  <c r="O98" i="2"/>
  <c r="K591" i="1"/>
  <c r="K235" i="1"/>
  <c r="O566" i="1"/>
  <c r="K345" i="1"/>
  <c r="M94" i="7"/>
  <c r="P94" i="7" s="1"/>
  <c r="P142" i="8"/>
  <c r="P222" i="8"/>
  <c r="K617" i="1"/>
  <c r="M66" i="12"/>
  <c r="P66" i="12" s="1"/>
  <c r="O96" i="12"/>
  <c r="P22" i="11"/>
  <c r="K630" i="1"/>
  <c r="K624" i="1"/>
  <c r="K65" i="1"/>
  <c r="K428" i="1"/>
  <c r="N29" i="15"/>
  <c r="N28" i="15" s="1"/>
  <c r="L252" i="6"/>
  <c r="O252" i="6" s="1"/>
  <c r="O34" i="13"/>
  <c r="K309" i="1"/>
  <c r="O34" i="15"/>
  <c r="O333" i="8"/>
  <c r="L142" i="13"/>
  <c r="L140" i="13" s="1"/>
  <c r="O333" i="3"/>
  <c r="P43" i="12"/>
  <c r="P55" i="12"/>
  <c r="O254" i="11"/>
  <c r="O385" i="1"/>
  <c r="K473" i="1"/>
  <c r="O537" i="1"/>
  <c r="P275" i="1"/>
  <c r="L312" i="11"/>
  <c r="O312" i="11" s="1"/>
  <c r="O294" i="6"/>
  <c r="K635" i="1"/>
  <c r="O43" i="12"/>
  <c r="O333" i="13"/>
  <c r="P43" i="3"/>
  <c r="K429" i="1"/>
  <c r="K84" i="1"/>
  <c r="K464" i="1"/>
  <c r="M271" i="12"/>
  <c r="P271" i="12" s="1"/>
  <c r="M250" i="5"/>
  <c r="P250" i="5" s="1"/>
  <c r="L252" i="3"/>
  <c r="L250" i="3" s="1"/>
  <c r="O250" i="3" s="1"/>
  <c r="L120" i="6"/>
  <c r="O120" i="6" s="1"/>
  <c r="O597" i="1"/>
  <c r="O349" i="1"/>
  <c r="K110" i="1"/>
  <c r="L96" i="14"/>
  <c r="O96" i="14" s="1"/>
  <c r="M290" i="12"/>
  <c r="P290" i="12" s="1"/>
  <c r="L252" i="10"/>
  <c r="O252" i="10" s="1"/>
  <c r="N11" i="14"/>
  <c r="N9" i="14" s="1"/>
  <c r="O535" i="1"/>
  <c r="M94" i="11"/>
  <c r="P94" i="11" s="1"/>
  <c r="K628" i="1"/>
  <c r="K149" i="1"/>
  <c r="O34" i="14"/>
  <c r="L120" i="3"/>
  <c r="L118" i="3" s="1"/>
  <c r="O437" i="1"/>
  <c r="L43" i="14"/>
  <c r="O43" i="14" s="1"/>
  <c r="M12" i="11"/>
  <c r="O34" i="8"/>
  <c r="K86" i="1"/>
  <c r="K449" i="1"/>
  <c r="K117" i="1"/>
  <c r="K451" i="1"/>
  <c r="K427" i="1"/>
  <c r="K266" i="1"/>
  <c r="K199" i="1"/>
  <c r="K82" i="1"/>
  <c r="N20" i="11"/>
  <c r="N18" i="11" s="1"/>
  <c r="L120" i="8"/>
  <c r="O120" i="8" s="1"/>
  <c r="L55" i="6"/>
  <c r="O55" i="6" s="1"/>
  <c r="M94" i="8"/>
  <c r="P94" i="8" s="1"/>
  <c r="L252" i="5"/>
  <c r="O252" i="5" s="1"/>
  <c r="K419" i="1"/>
  <c r="O34" i="4"/>
  <c r="O533" i="1"/>
  <c r="M331" i="11"/>
  <c r="P331" i="11" s="1"/>
  <c r="K618" i="1"/>
  <c r="K113" i="1"/>
  <c r="K219" i="1"/>
  <c r="O68" i="14"/>
  <c r="L66" i="14"/>
  <c r="O66" i="14" s="1"/>
  <c r="O222" i="6"/>
  <c r="K270" i="1"/>
  <c r="O337" i="1"/>
  <c r="K482" i="1"/>
  <c r="P96" i="12"/>
  <c r="O224" i="5"/>
  <c r="O331" i="3"/>
  <c r="K573" i="1"/>
  <c r="K377" i="1"/>
  <c r="K229" i="1"/>
  <c r="K81" i="1"/>
  <c r="P331" i="6"/>
  <c r="O122" i="11"/>
  <c r="O224" i="8"/>
  <c r="O70" i="14"/>
  <c r="O275" i="8"/>
  <c r="N11" i="3"/>
  <c r="N9" i="3" s="1"/>
  <c r="K631" i="1"/>
  <c r="M250" i="7"/>
  <c r="P250" i="7" s="1"/>
  <c r="L222" i="13"/>
  <c r="L220" i="13" s="1"/>
  <c r="O220" i="13" s="1"/>
  <c r="M94" i="15"/>
  <c r="P94" i="15" s="1"/>
  <c r="L273" i="12"/>
  <c r="O273" i="12" s="1"/>
  <c r="L142" i="11"/>
  <c r="O142" i="11" s="1"/>
  <c r="M94" i="10"/>
  <c r="P94" i="10" s="1"/>
  <c r="O224" i="6"/>
  <c r="L55" i="9"/>
  <c r="L53" i="9" s="1"/>
  <c r="O53" i="9" s="1"/>
  <c r="P43" i="11"/>
  <c r="K83" i="1"/>
  <c r="P43" i="5"/>
  <c r="K304" i="1"/>
  <c r="M250" i="14"/>
  <c r="P250" i="14" s="1"/>
  <c r="O224" i="2"/>
  <c r="M66" i="8"/>
  <c r="P66" i="8" s="1"/>
  <c r="L273" i="13"/>
  <c r="L271" i="13" s="1"/>
  <c r="P22" i="5"/>
  <c r="P70" i="1"/>
  <c r="L312" i="8"/>
  <c r="P224" i="1"/>
  <c r="K64" i="1"/>
  <c r="K589" i="1"/>
  <c r="K87" i="1"/>
  <c r="O599" i="1"/>
  <c r="O122" i="15"/>
  <c r="L312" i="12"/>
  <c r="O312" i="12" s="1"/>
  <c r="M271" i="15"/>
  <c r="P271" i="15" s="1"/>
  <c r="O292" i="6"/>
  <c r="O455" i="1"/>
  <c r="L142" i="4"/>
  <c r="P57" i="1"/>
  <c r="K138" i="1"/>
  <c r="M310" i="12"/>
  <c r="P310" i="12" s="1"/>
  <c r="O406" i="1"/>
  <c r="P140" i="12"/>
  <c r="K616" i="1"/>
  <c r="O32" i="2"/>
  <c r="O16" i="14"/>
  <c r="N41" i="5"/>
  <c r="P41" i="5" s="1"/>
  <c r="K615" i="1"/>
  <c r="P314" i="1"/>
  <c r="K499" i="1"/>
  <c r="O102" i="1"/>
  <c r="P55" i="9"/>
  <c r="L273" i="11"/>
  <c r="O273" i="11" s="1"/>
  <c r="N53" i="6"/>
  <c r="P53" i="6" s="1"/>
  <c r="K340" i="1"/>
  <c r="O601" i="1"/>
  <c r="K420" i="1"/>
  <c r="K629" i="1"/>
  <c r="K620" i="1"/>
  <c r="P294" i="1"/>
  <c r="K132" i="1"/>
  <c r="K632" i="1"/>
  <c r="K613" i="1"/>
  <c r="O580" i="1"/>
  <c r="K189" i="1"/>
  <c r="O45" i="6"/>
  <c r="L55" i="2"/>
  <c r="O55" i="2" s="1"/>
  <c r="N28" i="3"/>
  <c r="K88" i="1"/>
  <c r="K425" i="1"/>
  <c r="K611" i="1"/>
  <c r="O45" i="12"/>
  <c r="L292" i="15"/>
  <c r="O292" i="15" s="1"/>
  <c r="K614" i="1"/>
  <c r="L43" i="2"/>
  <c r="L41" i="2" s="1"/>
  <c r="P120" i="13"/>
  <c r="K612" i="1"/>
  <c r="K213" i="1"/>
  <c r="P43" i="2"/>
  <c r="K597" i="1"/>
  <c r="K380" i="1"/>
  <c r="K324" i="1"/>
  <c r="K533" i="1"/>
  <c r="O222" i="8"/>
  <c r="L220" i="8"/>
  <c r="O220" i="8" s="1"/>
  <c r="P43" i="15"/>
  <c r="O57" i="3"/>
  <c r="K421" i="1"/>
  <c r="O30" i="10"/>
  <c r="P55" i="8"/>
  <c r="O333" i="15"/>
  <c r="L142" i="14"/>
  <c r="L140" i="14" s="1"/>
  <c r="O140" i="14" s="1"/>
  <c r="N12" i="11"/>
  <c r="N10" i="11" s="1"/>
  <c r="P68" i="11"/>
  <c r="I367" i="1"/>
  <c r="K367" i="1" s="1"/>
  <c r="N28" i="14"/>
  <c r="P331" i="8"/>
  <c r="L96" i="9"/>
  <c r="O96" i="9" s="1"/>
  <c r="K396" i="1"/>
  <c r="L312" i="10"/>
  <c r="L310" i="10" s="1"/>
  <c r="O310" i="10" s="1"/>
  <c r="P53" i="8"/>
  <c r="O142" i="3"/>
  <c r="M118" i="12"/>
  <c r="P118" i="12" s="1"/>
  <c r="N12" i="12"/>
  <c r="N10" i="12" s="1"/>
  <c r="N8" i="12" s="1"/>
  <c r="P250" i="9"/>
  <c r="N28" i="7"/>
  <c r="O26" i="2"/>
  <c r="N140" i="9"/>
  <c r="P140" i="9" s="1"/>
  <c r="O144" i="3"/>
  <c r="P122" i="1"/>
  <c r="K204" i="1"/>
  <c r="L68" i="12"/>
  <c r="O68" i="12" s="1"/>
  <c r="L14" i="2"/>
  <c r="K216" i="1"/>
  <c r="K401" i="1"/>
  <c r="L14" i="8"/>
  <c r="O14" i="8" s="1"/>
  <c r="L13" i="4"/>
  <c r="O13" i="4" s="1"/>
  <c r="P55" i="13"/>
  <c r="P55" i="15"/>
  <c r="P331" i="3"/>
  <c r="O34" i="11"/>
  <c r="O32" i="10"/>
  <c r="P273" i="4"/>
  <c r="P329" i="3"/>
  <c r="K376" i="1"/>
  <c r="K633" i="1"/>
  <c r="K619" i="1"/>
  <c r="N11" i="7"/>
  <c r="N9" i="7" s="1"/>
  <c r="L292" i="3"/>
  <c r="L290" i="3" s="1"/>
  <c r="O290" i="3" s="1"/>
  <c r="L68" i="3"/>
  <c r="L66" i="3" s="1"/>
  <c r="O66" i="3" s="1"/>
  <c r="P254" i="1"/>
  <c r="O582" i="1"/>
  <c r="K481" i="1"/>
  <c r="L68" i="4"/>
  <c r="L66" i="4" s="1"/>
  <c r="O66" i="4" s="1"/>
  <c r="O354" i="1"/>
  <c r="P140" i="5"/>
  <c r="M292" i="15"/>
  <c r="P292" i="15" s="1"/>
  <c r="O252" i="15"/>
  <c r="L120" i="14"/>
  <c r="L118" i="14" s="1"/>
  <c r="O118" i="14" s="1"/>
  <c r="P53" i="12"/>
  <c r="P222" i="7"/>
  <c r="O34" i="7"/>
  <c r="N12" i="14"/>
  <c r="N10" i="14" s="1"/>
  <c r="K289" i="1"/>
  <c r="K109" i="1"/>
  <c r="P98" i="1"/>
  <c r="K465" i="1"/>
  <c r="K343" i="1"/>
  <c r="L292" i="9"/>
  <c r="O292" i="9" s="1"/>
  <c r="K265" i="1"/>
  <c r="L120" i="12"/>
  <c r="O120" i="12" s="1"/>
  <c r="O43" i="9"/>
  <c r="K547" i="1"/>
  <c r="K416" i="1"/>
  <c r="O564" i="1"/>
  <c r="P222" i="2"/>
  <c r="K328" i="1"/>
  <c r="K430" i="1"/>
  <c r="P292" i="8"/>
  <c r="O275" i="5"/>
  <c r="P252" i="9"/>
  <c r="K133" i="1"/>
  <c r="P26" i="6"/>
  <c r="P310" i="3"/>
  <c r="L96" i="5"/>
  <c r="L94" i="5" s="1"/>
  <c r="O94" i="5" s="1"/>
  <c r="O32" i="4"/>
  <c r="O55" i="14"/>
  <c r="L53" i="14"/>
  <c r="O53" i="14" s="1"/>
  <c r="P53" i="15"/>
  <c r="O314" i="14"/>
  <c r="M118" i="11"/>
  <c r="P118" i="11" s="1"/>
  <c r="L222" i="11"/>
  <c r="O222" i="11" s="1"/>
  <c r="P53" i="9"/>
  <c r="L273" i="7"/>
  <c r="L271" i="7" s="1"/>
  <c r="O271" i="7" s="1"/>
  <c r="N28" i="9"/>
  <c r="O98" i="7"/>
  <c r="N33" i="1"/>
  <c r="N13" i="1" s="1"/>
  <c r="P142" i="14"/>
  <c r="P312" i="15"/>
  <c r="K625" i="1"/>
  <c r="K424" i="1"/>
  <c r="O45" i="9"/>
  <c r="O70" i="13"/>
  <c r="O333" i="12"/>
  <c r="M290" i="9"/>
  <c r="P290" i="9" s="1"/>
  <c r="L43" i="10"/>
  <c r="O43" i="10" s="1"/>
  <c r="P329" i="8"/>
  <c r="O57" i="7"/>
  <c r="L252" i="7"/>
  <c r="L250" i="7" s="1"/>
  <c r="O250" i="7" s="1"/>
  <c r="L310" i="4"/>
  <c r="O310" i="4" s="1"/>
  <c r="K622" i="1"/>
  <c r="L96" i="3"/>
  <c r="L94" i="3" s="1"/>
  <c r="O94" i="3" s="1"/>
  <c r="L11" i="2"/>
  <c r="O11" i="2" s="1"/>
  <c r="O98" i="13"/>
  <c r="O314" i="4"/>
  <c r="K626" i="1"/>
  <c r="L28" i="2"/>
  <c r="O380" i="1"/>
  <c r="L292" i="2"/>
  <c r="L290" i="2" s="1"/>
  <c r="L26" i="1"/>
  <c r="L16" i="1" s="1"/>
  <c r="O34" i="12"/>
  <c r="K92" i="1"/>
  <c r="M250" i="13"/>
  <c r="P250" i="13" s="1"/>
  <c r="M290" i="7"/>
  <c r="P290" i="7" s="1"/>
  <c r="N20" i="13"/>
  <c r="N18" i="13" s="1"/>
  <c r="O333" i="10"/>
  <c r="M310" i="6"/>
  <c r="P310" i="6" s="1"/>
  <c r="L331" i="2"/>
  <c r="L329" i="2" s="1"/>
  <c r="O329" i="2" s="1"/>
  <c r="L33" i="1"/>
  <c r="O33" i="1" s="1"/>
  <c r="O31" i="2"/>
  <c r="K164" i="1"/>
  <c r="K634" i="1"/>
  <c r="K455" i="1"/>
  <c r="K623" i="1"/>
  <c r="O254" i="12"/>
  <c r="P120" i="14"/>
  <c r="P22" i="14"/>
  <c r="O70" i="11"/>
  <c r="P43" i="8"/>
  <c r="N11" i="8"/>
  <c r="N9" i="8" s="1"/>
  <c r="L23" i="1"/>
  <c r="O23" i="1" s="1"/>
  <c r="L142" i="2"/>
  <c r="L140" i="2" s="1"/>
  <c r="O140" i="2" s="1"/>
  <c r="O57" i="14"/>
  <c r="K595" i="1"/>
  <c r="K368" i="1"/>
  <c r="N9" i="15"/>
  <c r="L250" i="12"/>
  <c r="O250" i="12" s="1"/>
  <c r="L94" i="7"/>
  <c r="O94" i="7" s="1"/>
  <c r="P16" i="6"/>
  <c r="O329" i="8"/>
  <c r="K418" i="1"/>
  <c r="K375" i="1"/>
  <c r="K108" i="1"/>
  <c r="N22" i="1"/>
  <c r="K417" i="1"/>
  <c r="K370" i="1"/>
  <c r="O347" i="1"/>
  <c r="O352" i="1"/>
  <c r="L22" i="11"/>
  <c r="O22" i="11" s="1"/>
  <c r="N31" i="1"/>
  <c r="N29" i="1" s="1"/>
  <c r="N28" i="11"/>
  <c r="O120" i="5"/>
  <c r="L118" i="5"/>
  <c r="O118" i="5" s="1"/>
  <c r="L250" i="9"/>
  <c r="O250" i="9" s="1"/>
  <c r="O252" i="9"/>
  <c r="O43" i="6"/>
  <c r="P94" i="12"/>
  <c r="L292" i="5"/>
  <c r="O292" i="5" s="1"/>
  <c r="L68" i="2"/>
  <c r="O68" i="2" s="1"/>
  <c r="L22" i="14"/>
  <c r="O22" i="14" s="1"/>
  <c r="O254" i="9"/>
  <c r="L32" i="1"/>
  <c r="L30" i="1" s="1"/>
  <c r="L94" i="12"/>
  <c r="O94" i="12" s="1"/>
  <c r="O98" i="12"/>
  <c r="P49" i="11"/>
  <c r="N37" i="12"/>
  <c r="P222" i="10"/>
  <c r="P310" i="15"/>
  <c r="O275" i="15"/>
  <c r="L250" i="15"/>
  <c r="O250" i="15" s="1"/>
  <c r="M66" i="14"/>
  <c r="P66" i="14" s="1"/>
  <c r="L252" i="14"/>
  <c r="O252" i="14" s="1"/>
  <c r="O96" i="13"/>
  <c r="L252" i="13"/>
  <c r="O252" i="13" s="1"/>
  <c r="M26" i="11"/>
  <c r="P26" i="11" s="1"/>
  <c r="M310" i="11"/>
  <c r="P310" i="11" s="1"/>
  <c r="P140" i="8"/>
  <c r="L142" i="9"/>
  <c r="M26" i="5"/>
  <c r="M20" i="5" s="1"/>
  <c r="M18" i="5" s="1"/>
  <c r="P96" i="5"/>
  <c r="O140" i="3"/>
  <c r="P290" i="3"/>
  <c r="L13" i="2"/>
  <c r="O13" i="2" s="1"/>
  <c r="O24" i="2"/>
  <c r="N41" i="13"/>
  <c r="P41" i="13" s="1"/>
  <c r="O30" i="4"/>
  <c r="O383" i="1"/>
  <c r="L24" i="1"/>
  <c r="O24" i="1" s="1"/>
  <c r="L312" i="15"/>
  <c r="P140" i="14"/>
  <c r="P55" i="14"/>
  <c r="L273" i="14"/>
  <c r="M331" i="5"/>
  <c r="P331" i="5" s="1"/>
  <c r="L273" i="2"/>
  <c r="O273" i="2" s="1"/>
  <c r="N26" i="1"/>
  <c r="N16" i="1" s="1"/>
  <c r="P142" i="5"/>
  <c r="K474" i="1"/>
  <c r="P140" i="15"/>
  <c r="O224" i="15"/>
  <c r="N12" i="13"/>
  <c r="N10" i="13" s="1"/>
  <c r="M41" i="11"/>
  <c r="P41" i="11" s="1"/>
  <c r="L14" i="13"/>
  <c r="O14" i="13" s="1"/>
  <c r="L331" i="9"/>
  <c r="O331" i="9" s="1"/>
  <c r="N11" i="11"/>
  <c r="N9" i="11" s="1"/>
  <c r="L273" i="9"/>
  <c r="O273" i="9" s="1"/>
  <c r="P16" i="8"/>
  <c r="P329" i="6"/>
  <c r="L68" i="5"/>
  <c r="O68" i="5" s="1"/>
  <c r="P142" i="15"/>
  <c r="O314" i="5"/>
  <c r="M66" i="15"/>
  <c r="P66" i="15" s="1"/>
  <c r="O55" i="15"/>
  <c r="L310" i="5"/>
  <c r="O310" i="5" s="1"/>
  <c r="P120" i="4"/>
  <c r="O333" i="7"/>
  <c r="L252" i="2"/>
  <c r="L250" i="2" s="1"/>
  <c r="O250" i="2" s="1"/>
  <c r="M55" i="1"/>
  <c r="M53" i="1" s="1"/>
  <c r="P144" i="1"/>
  <c r="N32" i="1"/>
  <c r="N30" i="1" s="1"/>
  <c r="O122" i="5"/>
  <c r="L22" i="2"/>
  <c r="L12" i="2" s="1"/>
  <c r="L22" i="7"/>
  <c r="O22" i="7" s="1"/>
  <c r="M290" i="14"/>
  <c r="P290" i="14" s="1"/>
  <c r="P220" i="13"/>
  <c r="L53" i="15"/>
  <c r="O53" i="15" s="1"/>
  <c r="P53" i="14"/>
  <c r="M94" i="13"/>
  <c r="P94" i="13" s="1"/>
  <c r="P222" i="13"/>
  <c r="L14" i="12"/>
  <c r="O14" i="12" s="1"/>
  <c r="P331" i="10"/>
  <c r="L120" i="2"/>
  <c r="O120" i="2" s="1"/>
  <c r="P53" i="11"/>
  <c r="O331" i="15"/>
  <c r="L329" i="15"/>
  <c r="O329" i="15" s="1"/>
  <c r="O312" i="14"/>
  <c r="L310" i="14"/>
  <c r="O310" i="14" s="1"/>
  <c r="O142" i="15"/>
  <c r="L140" i="15"/>
  <c r="O140" i="15" s="1"/>
  <c r="O273" i="4"/>
  <c r="L271" i="4"/>
  <c r="O271" i="4" s="1"/>
  <c r="O144" i="15"/>
  <c r="L290" i="14"/>
  <c r="O290" i="14" s="1"/>
  <c r="N29" i="4"/>
  <c r="N28" i="4" s="1"/>
  <c r="L120" i="13"/>
  <c r="O120" i="13" s="1"/>
  <c r="O34" i="10"/>
  <c r="L14" i="7"/>
  <c r="O14" i="7" s="1"/>
  <c r="M310" i="5"/>
  <c r="P310" i="5" s="1"/>
  <c r="L312" i="7"/>
  <c r="O312" i="7" s="1"/>
  <c r="M118" i="2"/>
  <c r="P118" i="2" s="1"/>
  <c r="L331" i="4"/>
  <c r="O331" i="4" s="1"/>
  <c r="L312" i="2"/>
  <c r="L310" i="2" s="1"/>
  <c r="O310" i="2" s="1"/>
  <c r="N41" i="14"/>
  <c r="P41" i="14" s="1"/>
  <c r="N29" i="12"/>
  <c r="N28" i="12" s="1"/>
  <c r="O275" i="4"/>
  <c r="O294" i="14"/>
  <c r="L290" i="10"/>
  <c r="O290" i="10" s="1"/>
  <c r="L43" i="11"/>
  <c r="O43" i="11" s="1"/>
  <c r="N252" i="1"/>
  <c r="L275" i="1"/>
  <c r="O275" i="1" s="1"/>
  <c r="L144" i="1"/>
  <c r="O144" i="1" s="1"/>
  <c r="O314" i="2"/>
  <c r="N11" i="2"/>
  <c r="N9" i="2" s="1"/>
  <c r="P120" i="15"/>
  <c r="M331" i="13"/>
  <c r="M329" i="13" s="1"/>
  <c r="P329" i="13" s="1"/>
  <c r="P118" i="13"/>
  <c r="N28" i="8"/>
  <c r="M41" i="3"/>
  <c r="P41" i="3" s="1"/>
  <c r="O584" i="1"/>
  <c r="M26" i="13"/>
  <c r="P26" i="13" s="1"/>
  <c r="O331" i="8"/>
  <c r="M118" i="9"/>
  <c r="P118" i="9" s="1"/>
  <c r="L22" i="9"/>
  <c r="O22" i="9" s="1"/>
  <c r="L120" i="7"/>
  <c r="O120" i="7" s="1"/>
  <c r="L31" i="1"/>
  <c r="K402" i="1"/>
  <c r="M94" i="14"/>
  <c r="P94" i="14" s="1"/>
  <c r="L29" i="14"/>
  <c r="O29" i="14" s="1"/>
  <c r="L68" i="15"/>
  <c r="O68" i="15" s="1"/>
  <c r="L250" i="11"/>
  <c r="O250" i="11" s="1"/>
  <c r="L120" i="9"/>
  <c r="L11" i="14"/>
  <c r="L9" i="14" s="1"/>
  <c r="L22" i="10"/>
  <c r="O22" i="10" s="1"/>
  <c r="L329" i="3"/>
  <c r="O329" i="3" s="1"/>
  <c r="L22" i="6"/>
  <c r="O22" i="6" s="1"/>
  <c r="O294" i="8"/>
  <c r="L292" i="8"/>
  <c r="M329" i="10"/>
  <c r="P329" i="10" s="1"/>
  <c r="L41" i="6"/>
  <c r="O41" i="6" s="1"/>
  <c r="L66" i="11"/>
  <c r="O66" i="11" s="1"/>
  <c r="O34" i="5"/>
  <c r="N20" i="14"/>
  <c r="N18" i="14" s="1"/>
  <c r="L96" i="11"/>
  <c r="O98" i="11"/>
  <c r="M310" i="9"/>
  <c r="P310" i="9" s="1"/>
  <c r="P55" i="11"/>
  <c r="M331" i="15"/>
  <c r="P331" i="15" s="1"/>
  <c r="N20" i="12"/>
  <c r="N18" i="12" s="1"/>
  <c r="N271" i="13"/>
  <c r="P271" i="13" s="1"/>
  <c r="O34" i="9"/>
  <c r="P118" i="15"/>
  <c r="O34" i="3"/>
  <c r="M26" i="15"/>
  <c r="M20" i="15" s="1"/>
  <c r="M18" i="15" s="1"/>
  <c r="N53" i="3"/>
  <c r="P53" i="3" s="1"/>
  <c r="P252" i="15"/>
  <c r="L120" i="10"/>
  <c r="O122" i="10"/>
  <c r="L55" i="11"/>
  <c r="O57" i="11"/>
  <c r="L29" i="9"/>
  <c r="O29" i="9" s="1"/>
  <c r="O31" i="9"/>
  <c r="L254" i="1"/>
  <c r="O254" i="1" s="1"/>
  <c r="N331" i="1"/>
  <c r="M118" i="14"/>
  <c r="P118" i="14" s="1"/>
  <c r="N41" i="8"/>
  <c r="P41" i="8" s="1"/>
  <c r="L220" i="6"/>
  <c r="O220" i="6" s="1"/>
  <c r="O144" i="10"/>
  <c r="L142" i="10"/>
  <c r="L142" i="12"/>
  <c r="O144" i="12"/>
  <c r="N11" i="9"/>
  <c r="N9" i="9" s="1"/>
  <c r="L22" i="8"/>
  <c r="L20" i="8" s="1"/>
  <c r="L18" i="8" s="1"/>
  <c r="P142" i="7"/>
  <c r="P220" i="4"/>
  <c r="P53" i="2"/>
  <c r="L224" i="1"/>
  <c r="O224" i="1" s="1"/>
  <c r="N14" i="11"/>
  <c r="O224" i="14"/>
  <c r="L222" i="14"/>
  <c r="O32" i="12"/>
  <c r="L30" i="12"/>
  <c r="O32" i="11"/>
  <c r="L30" i="11"/>
  <c r="O30" i="11" s="1"/>
  <c r="L142" i="7"/>
  <c r="L140" i="7" s="1"/>
  <c r="O144" i="7"/>
  <c r="L312" i="6"/>
  <c r="O314" i="6"/>
  <c r="L96" i="4"/>
  <c r="O98" i="4"/>
  <c r="P312" i="3"/>
  <c r="P55" i="2"/>
  <c r="N12" i="9"/>
  <c r="N10" i="9" s="1"/>
  <c r="O55" i="3"/>
  <c r="O24" i="14"/>
  <c r="L14" i="14"/>
  <c r="O14" i="14" s="1"/>
  <c r="P292" i="10"/>
  <c r="M290" i="10"/>
  <c r="P290" i="10" s="1"/>
  <c r="O275" i="6"/>
  <c r="L273" i="6"/>
  <c r="L252" i="4"/>
  <c r="O254" i="4"/>
  <c r="L34" i="1"/>
  <c r="N220" i="1"/>
  <c r="P66" i="3"/>
  <c r="L30" i="14"/>
  <c r="O30" i="14" s="1"/>
  <c r="O32" i="14"/>
  <c r="L13" i="14"/>
  <c r="O13" i="14" s="1"/>
  <c r="O23" i="14"/>
  <c r="P22" i="12"/>
  <c r="M12" i="12"/>
  <c r="O70" i="7"/>
  <c r="L68" i="7"/>
  <c r="P298" i="2"/>
  <c r="M298" i="1"/>
  <c r="P298" i="1" s="1"/>
  <c r="P250" i="15"/>
  <c r="N29" i="10"/>
  <c r="N28" i="10" s="1"/>
  <c r="N11" i="10"/>
  <c r="N9" i="10" s="1"/>
  <c r="O122" i="4"/>
  <c r="L120" i="4"/>
  <c r="L122" i="1"/>
  <c r="O122" i="1" s="1"/>
  <c r="O43" i="8"/>
  <c r="O26" i="14"/>
  <c r="N66" i="9"/>
  <c r="P66" i="9" s="1"/>
  <c r="O45" i="7"/>
  <c r="L43" i="7"/>
  <c r="L29" i="5"/>
  <c r="O29" i="5" s="1"/>
  <c r="O31" i="5"/>
  <c r="L312" i="3"/>
  <c r="O314" i="3"/>
  <c r="O11" i="8"/>
  <c r="L9" i="8"/>
  <c r="O94" i="2"/>
  <c r="P29" i="15"/>
  <c r="M28" i="15"/>
  <c r="P28" i="15" s="1"/>
  <c r="P220" i="15"/>
  <c r="P337" i="14"/>
  <c r="M26" i="14"/>
  <c r="L29" i="15"/>
  <c r="O31" i="15"/>
  <c r="M271" i="14"/>
  <c r="P271" i="14" s="1"/>
  <c r="O331" i="13"/>
  <c r="L329" i="13"/>
  <c r="O329" i="13" s="1"/>
  <c r="M9" i="12"/>
  <c r="P11" i="12"/>
  <c r="O45" i="13"/>
  <c r="L43" i="13"/>
  <c r="L22" i="13"/>
  <c r="O331" i="12"/>
  <c r="L329" i="12"/>
  <c r="O329" i="12" s="1"/>
  <c r="M271" i="11"/>
  <c r="P271" i="11" s="1"/>
  <c r="O19" i="12"/>
  <c r="O252" i="8"/>
  <c r="L250" i="8"/>
  <c r="O250" i="8" s="1"/>
  <c r="M220" i="10"/>
  <c r="P220" i="10" s="1"/>
  <c r="M41" i="9"/>
  <c r="O222" i="9"/>
  <c r="L220" i="9"/>
  <c r="O220" i="9" s="1"/>
  <c r="P68" i="10"/>
  <c r="M66" i="10"/>
  <c r="P66" i="10" s="1"/>
  <c r="N20" i="9"/>
  <c r="N18" i="9" s="1"/>
  <c r="O32" i="5"/>
  <c r="L30" i="5"/>
  <c r="P22" i="6"/>
  <c r="M12" i="6"/>
  <c r="M20" i="6"/>
  <c r="O55" i="7"/>
  <c r="L53" i="7"/>
  <c r="O53" i="7" s="1"/>
  <c r="M9" i="5"/>
  <c r="P11" i="5"/>
  <c r="L271" i="5"/>
  <c r="O271" i="5" s="1"/>
  <c r="O273" i="5"/>
  <c r="L22" i="3"/>
  <c r="O45" i="3"/>
  <c r="L43" i="3"/>
  <c r="O220" i="2"/>
  <c r="P337" i="4"/>
  <c r="M331" i="4"/>
  <c r="M26" i="4"/>
  <c r="M20" i="4" s="1"/>
  <c r="P9" i="3"/>
  <c r="O34" i="2"/>
  <c r="N14" i="2"/>
  <c r="O34" i="6"/>
  <c r="P337" i="2"/>
  <c r="M337" i="1"/>
  <c r="P337" i="1" s="1"/>
  <c r="O222" i="2"/>
  <c r="N37" i="4"/>
  <c r="P22" i="3"/>
  <c r="M12" i="3"/>
  <c r="M20" i="3"/>
  <c r="P142" i="4"/>
  <c r="M140" i="4"/>
  <c r="P140" i="4" s="1"/>
  <c r="O19" i="1"/>
  <c r="P41" i="15"/>
  <c r="N20" i="15"/>
  <c r="N12" i="15"/>
  <c r="N10" i="15" s="1"/>
  <c r="O273" i="15"/>
  <c r="L271" i="15"/>
  <c r="O271" i="15" s="1"/>
  <c r="P22" i="15"/>
  <c r="M26" i="10"/>
  <c r="M20" i="10" s="1"/>
  <c r="P49" i="10"/>
  <c r="M43" i="10"/>
  <c r="M49" i="1"/>
  <c r="P22" i="9"/>
  <c r="M12" i="9"/>
  <c r="P102" i="9"/>
  <c r="M96" i="9"/>
  <c r="M26" i="9"/>
  <c r="M20" i="9" s="1"/>
  <c r="M102" i="1"/>
  <c r="P102" i="1" s="1"/>
  <c r="O57" i="8"/>
  <c r="L55" i="8"/>
  <c r="L30" i="7"/>
  <c r="O30" i="7" s="1"/>
  <c r="O32" i="7"/>
  <c r="O23" i="6"/>
  <c r="L13" i="6"/>
  <c r="O13" i="6" s="1"/>
  <c r="P273" i="7"/>
  <c r="M271" i="7"/>
  <c r="P271" i="7" s="1"/>
  <c r="P11" i="8"/>
  <c r="M9" i="8"/>
  <c r="P120" i="8"/>
  <c r="M118" i="8"/>
  <c r="P118" i="8" s="1"/>
  <c r="O32" i="8"/>
  <c r="L30" i="8"/>
  <c r="O30" i="8" s="1"/>
  <c r="P312" i="8"/>
  <c r="M310" i="8"/>
  <c r="P310" i="8" s="1"/>
  <c r="P9" i="7"/>
  <c r="L16" i="6"/>
  <c r="O16" i="6" s="1"/>
  <c r="O26" i="6"/>
  <c r="P22" i="7"/>
  <c r="M12" i="7"/>
  <c r="P19" i="5"/>
  <c r="P94" i="2"/>
  <c r="P19" i="4"/>
  <c r="P271" i="2"/>
  <c r="N120" i="1"/>
  <c r="N118" i="3"/>
  <c r="N118" i="1" s="1"/>
  <c r="P292" i="2"/>
  <c r="P252" i="4"/>
  <c r="M250" i="4"/>
  <c r="P250" i="4" s="1"/>
  <c r="P22" i="2"/>
  <c r="M12" i="2"/>
  <c r="L29" i="4"/>
  <c r="L11" i="4"/>
  <c r="O31" i="4"/>
  <c r="N12" i="4"/>
  <c r="N10" i="4" s="1"/>
  <c r="N8" i="4" s="1"/>
  <c r="N20" i="4"/>
  <c r="N18" i="4" s="1"/>
  <c r="P96" i="3"/>
  <c r="M94" i="3"/>
  <c r="P94" i="3" s="1"/>
  <c r="O32" i="15"/>
  <c r="L30" i="15"/>
  <c r="O30" i="15" s="1"/>
  <c r="P53" i="13"/>
  <c r="P22" i="13"/>
  <c r="M12" i="13"/>
  <c r="M220" i="12"/>
  <c r="P220" i="12" s="1"/>
  <c r="P222" i="12"/>
  <c r="M41" i="12"/>
  <c r="P273" i="10"/>
  <c r="M271" i="10"/>
  <c r="P271" i="10" s="1"/>
  <c r="O26" i="10"/>
  <c r="L16" i="10"/>
  <c r="O16" i="10" s="1"/>
  <c r="O24" i="11"/>
  <c r="L14" i="11"/>
  <c r="O68" i="10"/>
  <c r="L66" i="10"/>
  <c r="O66" i="10" s="1"/>
  <c r="P252" i="10"/>
  <c r="M250" i="10"/>
  <c r="P250" i="10" s="1"/>
  <c r="P142" i="10"/>
  <c r="M140" i="10"/>
  <c r="P140" i="10" s="1"/>
  <c r="O23" i="7"/>
  <c r="L13" i="7"/>
  <c r="O13" i="7" s="1"/>
  <c r="O23" i="8"/>
  <c r="L13" i="8"/>
  <c r="O13" i="8" s="1"/>
  <c r="O70" i="9"/>
  <c r="L68" i="9"/>
  <c r="O24" i="5"/>
  <c r="L14" i="5"/>
  <c r="O14" i="5" s="1"/>
  <c r="L55" i="5"/>
  <c r="O57" i="5"/>
  <c r="P55" i="7"/>
  <c r="M53" i="7"/>
  <c r="P43" i="7"/>
  <c r="P222" i="4"/>
  <c r="M222" i="1"/>
  <c r="M28" i="6"/>
  <c r="P28" i="6" s="1"/>
  <c r="P120" i="3"/>
  <c r="N12" i="3"/>
  <c r="N20" i="3"/>
  <c r="N18" i="3" s="1"/>
  <c r="N30" i="2"/>
  <c r="N12" i="2"/>
  <c r="L9" i="15"/>
  <c r="O11" i="15"/>
  <c r="O120" i="15"/>
  <c r="L118" i="15"/>
  <c r="O118" i="15" s="1"/>
  <c r="P11" i="14"/>
  <c r="M9" i="14"/>
  <c r="P292" i="13"/>
  <c r="M290" i="13"/>
  <c r="P290" i="13" s="1"/>
  <c r="O26" i="13"/>
  <c r="L16" i="13"/>
  <c r="O16" i="13" s="1"/>
  <c r="O26" i="12"/>
  <c r="L16" i="12"/>
  <c r="O16" i="12" s="1"/>
  <c r="O314" i="9"/>
  <c r="L312" i="9"/>
  <c r="L314" i="1"/>
  <c r="O314" i="1" s="1"/>
  <c r="P22" i="10"/>
  <c r="M12" i="10"/>
  <c r="M9" i="10"/>
  <c r="O98" i="8"/>
  <c r="L96" i="8"/>
  <c r="P19" i="8"/>
  <c r="M20" i="8"/>
  <c r="M18" i="8" s="1"/>
  <c r="P22" i="8"/>
  <c r="M12" i="8"/>
  <c r="O19" i="8"/>
  <c r="O31" i="7"/>
  <c r="L11" i="7"/>
  <c r="L29" i="7"/>
  <c r="O333" i="5"/>
  <c r="L331" i="5"/>
  <c r="L333" i="1"/>
  <c r="O333" i="1" s="1"/>
  <c r="P68" i="7"/>
  <c r="M66" i="7"/>
  <c r="P66" i="7" s="1"/>
  <c r="M68" i="1"/>
  <c r="L273" i="10"/>
  <c r="O275" i="10"/>
  <c r="P142" i="6"/>
  <c r="M140" i="6"/>
  <c r="P140" i="6" s="1"/>
  <c r="L22" i="4"/>
  <c r="O45" i="4"/>
  <c r="L43" i="4"/>
  <c r="N271" i="3"/>
  <c r="N273" i="1"/>
  <c r="P220" i="2"/>
  <c r="O19" i="4"/>
  <c r="P318" i="2"/>
  <c r="M318" i="1"/>
  <c r="P318" i="1" s="1"/>
  <c r="M26" i="2"/>
  <c r="M20" i="2" s="1"/>
  <c r="P29" i="2"/>
  <c r="M28" i="2"/>
  <c r="P28" i="2" s="1"/>
  <c r="M9" i="4"/>
  <c r="N34" i="1"/>
  <c r="M220" i="14"/>
  <c r="P220" i="14" s="1"/>
  <c r="P222" i="14"/>
  <c r="O292" i="13"/>
  <c r="L290" i="13"/>
  <c r="O290" i="13" s="1"/>
  <c r="N30" i="13"/>
  <c r="O30" i="13" s="1"/>
  <c r="O32" i="13"/>
  <c r="L41" i="12"/>
  <c r="P49" i="12"/>
  <c r="M26" i="12"/>
  <c r="O294" i="12"/>
  <c r="L292" i="12"/>
  <c r="L294" i="1"/>
  <c r="O294" i="1" s="1"/>
  <c r="N310" i="10"/>
  <c r="N310" i="1" s="1"/>
  <c r="N312" i="1"/>
  <c r="P337" i="9"/>
  <c r="M331" i="9"/>
  <c r="P11" i="9"/>
  <c r="M9" i="9"/>
  <c r="O26" i="11"/>
  <c r="L16" i="11"/>
  <c r="O16" i="11" s="1"/>
  <c r="P55" i="10"/>
  <c r="P222" i="9"/>
  <c r="M220" i="9"/>
  <c r="P220" i="9" s="1"/>
  <c r="P312" i="7"/>
  <c r="M310" i="7"/>
  <c r="P310" i="7" s="1"/>
  <c r="L16" i="7"/>
  <c r="O16" i="7" s="1"/>
  <c r="O26" i="7"/>
  <c r="O32" i="9"/>
  <c r="L30" i="9"/>
  <c r="O19" i="6"/>
  <c r="P222" i="5"/>
  <c r="N222" i="1"/>
  <c r="L13" i="10"/>
  <c r="O13" i="10" s="1"/>
  <c r="O23" i="10"/>
  <c r="L16" i="5"/>
  <c r="O16" i="5" s="1"/>
  <c r="O26" i="5"/>
  <c r="P252" i="6"/>
  <c r="M250" i="6"/>
  <c r="P250" i="6" s="1"/>
  <c r="L30" i="6"/>
  <c r="O30" i="6" s="1"/>
  <c r="O32" i="6"/>
  <c r="L16" i="4"/>
  <c r="O16" i="4" s="1"/>
  <c r="O26" i="4"/>
  <c r="N329" i="1"/>
  <c r="P26" i="3"/>
  <c r="M16" i="3"/>
  <c r="O224" i="4"/>
  <c r="L222" i="4"/>
  <c r="P22" i="4"/>
  <c r="M12" i="4"/>
  <c r="P142" i="3"/>
  <c r="M140" i="3"/>
  <c r="P140" i="3" s="1"/>
  <c r="P11" i="2"/>
  <c r="M9" i="2"/>
  <c r="O401" i="1"/>
  <c r="O457" i="1"/>
  <c r="O26" i="15"/>
  <c r="L16" i="15"/>
  <c r="O16" i="15" s="1"/>
  <c r="L22" i="15"/>
  <c r="O45" i="15"/>
  <c r="L43" i="15"/>
  <c r="O24" i="15"/>
  <c r="L14" i="15"/>
  <c r="O14" i="15" s="1"/>
  <c r="O23" i="13"/>
  <c r="L13" i="13"/>
  <c r="O13" i="13" s="1"/>
  <c r="L29" i="13"/>
  <c r="L11" i="13"/>
  <c r="O31" i="13"/>
  <c r="O23" i="12"/>
  <c r="L13" i="12"/>
  <c r="O13" i="12" s="1"/>
  <c r="P19" i="12"/>
  <c r="O222" i="12"/>
  <c r="L220" i="12"/>
  <c r="O220" i="12" s="1"/>
  <c r="O23" i="11"/>
  <c r="L13" i="11"/>
  <c r="O13" i="11" s="1"/>
  <c r="L22" i="12"/>
  <c r="N37" i="11"/>
  <c r="L29" i="11"/>
  <c r="O31" i="11"/>
  <c r="P222" i="11"/>
  <c r="M220" i="11"/>
  <c r="P220" i="11" s="1"/>
  <c r="L118" i="11"/>
  <c r="O118" i="11" s="1"/>
  <c r="L329" i="10"/>
  <c r="O329" i="10" s="1"/>
  <c r="O331" i="10"/>
  <c r="O11" i="9"/>
  <c r="L9" i="9"/>
  <c r="O70" i="8"/>
  <c r="L68" i="8"/>
  <c r="O24" i="9"/>
  <c r="L14" i="9"/>
  <c r="O14" i="9" s="1"/>
  <c r="O26" i="8"/>
  <c r="L16" i="8"/>
  <c r="O16" i="8" s="1"/>
  <c r="P9" i="6"/>
  <c r="L9" i="5"/>
  <c r="O11" i="5"/>
  <c r="O98" i="6"/>
  <c r="L96" i="6"/>
  <c r="L98" i="1"/>
  <c r="O98" i="1" s="1"/>
  <c r="P220" i="5"/>
  <c r="L142" i="5"/>
  <c r="O144" i="5"/>
  <c r="P331" i="2"/>
  <c r="M329" i="2"/>
  <c r="O222" i="5"/>
  <c r="L220" i="5"/>
  <c r="O220" i="5" s="1"/>
  <c r="N96" i="1"/>
  <c r="P273" i="3"/>
  <c r="P68" i="3"/>
  <c r="P142" i="2"/>
  <c r="M140" i="2"/>
  <c r="M142" i="1"/>
  <c r="L13" i="3"/>
  <c r="O13" i="3" s="1"/>
  <c r="O24" i="4"/>
  <c r="L14" i="4"/>
  <c r="O14" i="4" s="1"/>
  <c r="P96" i="4"/>
  <c r="M94" i="4"/>
  <c r="P94" i="4" s="1"/>
  <c r="O19" i="3"/>
  <c r="P9" i="1"/>
  <c r="L30" i="3"/>
  <c r="O30" i="3" s="1"/>
  <c r="O32" i="3"/>
  <c r="M41" i="2"/>
  <c r="L57" i="1"/>
  <c r="O23" i="15"/>
  <c r="L13" i="15"/>
  <c r="O13" i="15" s="1"/>
  <c r="O222" i="15"/>
  <c r="N140" i="13"/>
  <c r="P142" i="13"/>
  <c r="O57" i="13"/>
  <c r="L55" i="13"/>
  <c r="L66" i="13"/>
  <c r="O66" i="13" s="1"/>
  <c r="M9" i="11"/>
  <c r="P11" i="11"/>
  <c r="P312" i="10"/>
  <c r="M310" i="10"/>
  <c r="P310" i="10" s="1"/>
  <c r="M53" i="10"/>
  <c r="P53" i="10" s="1"/>
  <c r="O224" i="10"/>
  <c r="L222" i="10"/>
  <c r="L41" i="9"/>
  <c r="O26" i="9"/>
  <c r="L16" i="9"/>
  <c r="O16" i="9" s="1"/>
  <c r="N250" i="7"/>
  <c r="N250" i="1" s="1"/>
  <c r="O273" i="8"/>
  <c r="L271" i="8"/>
  <c r="O271" i="8" s="1"/>
  <c r="P26" i="8"/>
  <c r="N20" i="8"/>
  <c r="N18" i="8" s="1"/>
  <c r="N12" i="8"/>
  <c r="N10" i="8" s="1"/>
  <c r="O24" i="6"/>
  <c r="L14" i="6"/>
  <c r="O14" i="6" s="1"/>
  <c r="P273" i="6"/>
  <c r="M271" i="6"/>
  <c r="P271" i="6" s="1"/>
  <c r="M273" i="1"/>
  <c r="O31" i="6"/>
  <c r="L11" i="6"/>
  <c r="L29" i="6"/>
  <c r="N20" i="5"/>
  <c r="N18" i="5" s="1"/>
  <c r="N12" i="5"/>
  <c r="N10" i="5" s="1"/>
  <c r="N12" i="6"/>
  <c r="N10" i="6" s="1"/>
  <c r="N20" i="6"/>
  <c r="N18" i="6" s="1"/>
  <c r="P312" i="2"/>
  <c r="M310" i="2"/>
  <c r="L22" i="5"/>
  <c r="L43" i="5"/>
  <c r="O45" i="5"/>
  <c r="L329" i="7"/>
  <c r="O329" i="7" s="1"/>
  <c r="O331" i="7"/>
  <c r="N16" i="3"/>
  <c r="O16" i="3" s="1"/>
  <c r="O26" i="3"/>
  <c r="L29" i="3"/>
  <c r="L11" i="3"/>
  <c r="O31" i="3"/>
  <c r="O96" i="2"/>
  <c r="O224" i="3"/>
  <c r="L222" i="3"/>
  <c r="N16" i="2"/>
  <c r="O16" i="2" s="1"/>
  <c r="N20" i="2"/>
  <c r="N18" i="2" s="1"/>
  <c r="M28" i="1"/>
  <c r="P28" i="1" s="1"/>
  <c r="P30" i="1"/>
  <c r="M22" i="1"/>
  <c r="L70" i="1"/>
  <c r="O70" i="1" s="1"/>
  <c r="M9" i="15"/>
  <c r="P11" i="15"/>
  <c r="P222" i="15"/>
  <c r="O220" i="15"/>
  <c r="N37" i="15"/>
  <c r="M331" i="14"/>
  <c r="O312" i="13"/>
  <c r="L310" i="13"/>
  <c r="O310" i="13" s="1"/>
  <c r="P292" i="11"/>
  <c r="M290" i="11"/>
  <c r="P290" i="11" s="1"/>
  <c r="O11" i="11"/>
  <c r="L9" i="11"/>
  <c r="O19" i="10"/>
  <c r="O29" i="10"/>
  <c r="L28" i="10"/>
  <c r="M26" i="7"/>
  <c r="P337" i="7"/>
  <c r="M331" i="7"/>
  <c r="P273" i="8"/>
  <c r="M271" i="8"/>
  <c r="P271" i="8" s="1"/>
  <c r="O24" i="10"/>
  <c r="L14" i="10"/>
  <c r="O14" i="10" s="1"/>
  <c r="O23" i="9"/>
  <c r="L13" i="9"/>
  <c r="O13" i="9" s="1"/>
  <c r="N12" i="10"/>
  <c r="N10" i="10" s="1"/>
  <c r="N20" i="10"/>
  <c r="N18" i="10" s="1"/>
  <c r="O19" i="9"/>
  <c r="L29" i="8"/>
  <c r="O31" i="8"/>
  <c r="P43" i="6"/>
  <c r="M41" i="6"/>
  <c r="M220" i="6"/>
  <c r="P220" i="6" s="1"/>
  <c r="N29" i="6"/>
  <c r="N28" i="6" s="1"/>
  <c r="N11" i="6"/>
  <c r="N9" i="6" s="1"/>
  <c r="P120" i="7"/>
  <c r="M118" i="7"/>
  <c r="P118" i="7" s="1"/>
  <c r="P120" i="6"/>
  <c r="M118" i="6"/>
  <c r="P118" i="6" s="1"/>
  <c r="M120" i="1"/>
  <c r="N11" i="5"/>
  <c r="N9" i="5" s="1"/>
  <c r="N29" i="5"/>
  <c r="N28" i="5" s="1"/>
  <c r="N12" i="7"/>
  <c r="N10" i="7" s="1"/>
  <c r="N20" i="7"/>
  <c r="N18" i="7" s="1"/>
  <c r="M94" i="6"/>
  <c r="P94" i="6" s="1"/>
  <c r="N140" i="7"/>
  <c r="N142" i="1"/>
  <c r="N53" i="5"/>
  <c r="P55" i="5"/>
  <c r="P252" i="2"/>
  <c r="M250" i="2"/>
  <c r="M252" i="1"/>
  <c r="L13" i="5"/>
  <c r="O13" i="5" s="1"/>
  <c r="O23" i="5"/>
  <c r="N94" i="1"/>
  <c r="N290" i="2"/>
  <c r="N290" i="1" s="1"/>
  <c r="N292" i="1"/>
  <c r="P252" i="3"/>
  <c r="M250" i="3"/>
  <c r="P250" i="3" s="1"/>
  <c r="L53" i="4"/>
  <c r="O53" i="4" s="1"/>
  <c r="O55" i="4"/>
  <c r="P68" i="2"/>
  <c r="N68" i="1"/>
  <c r="N66" i="2"/>
  <c r="P66" i="2" s="1"/>
  <c r="P55" i="4"/>
  <c r="O24" i="3"/>
  <c r="L14" i="3"/>
  <c r="O14" i="3" s="1"/>
  <c r="N55" i="1"/>
  <c r="N53" i="1" s="1"/>
  <c r="L45" i="1"/>
  <c r="O55" i="12" l="1"/>
  <c r="L290" i="4"/>
  <c r="O290" i="4" s="1"/>
  <c r="O331" i="14"/>
  <c r="L94" i="10"/>
  <c r="O94" i="10" s="1"/>
  <c r="M96" i="1"/>
  <c r="P96" i="1" s="1"/>
  <c r="M310" i="13"/>
  <c r="P310" i="13" s="1"/>
  <c r="L329" i="11"/>
  <c r="O329" i="11" s="1"/>
  <c r="O11" i="12"/>
  <c r="L220" i="7"/>
  <c r="O220" i="7" s="1"/>
  <c r="O271" i="3"/>
  <c r="O273" i="3"/>
  <c r="O273" i="7"/>
  <c r="L41" i="14"/>
  <c r="O41" i="14" s="1"/>
  <c r="N37" i="6"/>
  <c r="L140" i="6"/>
  <c r="O140" i="6" s="1"/>
  <c r="M312" i="1"/>
  <c r="P312" i="1" s="1"/>
  <c r="L271" i="12"/>
  <c r="O271" i="12" s="1"/>
  <c r="O22" i="2"/>
  <c r="L290" i="9"/>
  <c r="O290" i="9" s="1"/>
  <c r="L20" i="2"/>
  <c r="O20" i="2" s="1"/>
  <c r="O312" i="2"/>
  <c r="L118" i="6"/>
  <c r="O118" i="6" s="1"/>
  <c r="O252" i="2"/>
  <c r="O312" i="10"/>
  <c r="L140" i="8"/>
  <c r="O140" i="8" s="1"/>
  <c r="L9" i="10"/>
  <c r="O9" i="10" s="1"/>
  <c r="N8" i="15"/>
  <c r="P12" i="11"/>
  <c r="L329" i="6"/>
  <c r="O329" i="6" s="1"/>
  <c r="L66" i="15"/>
  <c r="O66" i="15" s="1"/>
  <c r="O252" i="3"/>
  <c r="O68" i="4"/>
  <c r="O142" i="13"/>
  <c r="L290" i="11"/>
  <c r="O290" i="11" s="1"/>
  <c r="L20" i="9"/>
  <c r="L18" i="9" s="1"/>
  <c r="O18" i="9" s="1"/>
  <c r="P26" i="5"/>
  <c r="P252" i="1"/>
  <c r="O292" i="7"/>
  <c r="L220" i="11"/>
  <c r="O220" i="11" s="1"/>
  <c r="N8" i="11"/>
  <c r="L271" i="11"/>
  <c r="O271" i="11" s="1"/>
  <c r="L66" i="6"/>
  <c r="O66" i="6" s="1"/>
  <c r="L140" i="11"/>
  <c r="O140" i="11" s="1"/>
  <c r="L250" i="10"/>
  <c r="O250" i="10" s="1"/>
  <c r="L12" i="10"/>
  <c r="O12" i="10" s="1"/>
  <c r="L250" i="5"/>
  <c r="O250" i="5" s="1"/>
  <c r="L94" i="14"/>
  <c r="O94" i="14" s="1"/>
  <c r="M16" i="5"/>
  <c r="P16" i="5" s="1"/>
  <c r="O68" i="3"/>
  <c r="L53" i="6"/>
  <c r="O53" i="6" s="1"/>
  <c r="N8" i="14"/>
  <c r="O222" i="13"/>
  <c r="N20" i="1"/>
  <c r="N18" i="1" s="1"/>
  <c r="L53" i="10"/>
  <c r="O53" i="10" s="1"/>
  <c r="L250" i="6"/>
  <c r="O250" i="6" s="1"/>
  <c r="L329" i="9"/>
  <c r="O329" i="9" s="1"/>
  <c r="N8" i="13"/>
  <c r="L118" i="2"/>
  <c r="O118" i="2" s="1"/>
  <c r="P53" i="1"/>
  <c r="P12" i="12"/>
  <c r="N37" i="14"/>
  <c r="M329" i="11"/>
  <c r="P329" i="11" s="1"/>
  <c r="O14" i="2"/>
  <c r="O142" i="2"/>
  <c r="L271" i="2"/>
  <c r="O271" i="2" s="1"/>
  <c r="O142" i="14"/>
  <c r="O331" i="2"/>
  <c r="L20" i="10"/>
  <c r="L18" i="10" s="1"/>
  <c r="O18" i="10" s="1"/>
  <c r="L14" i="1"/>
  <c r="L41" i="10"/>
  <c r="O41" i="10" s="1"/>
  <c r="L250" i="14"/>
  <c r="O250" i="14" s="1"/>
  <c r="N12" i="1"/>
  <c r="N10" i="1" s="1"/>
  <c r="O120" i="3"/>
  <c r="L290" i="5"/>
  <c r="O290" i="5" s="1"/>
  <c r="L66" i="5"/>
  <c r="O66" i="5" s="1"/>
  <c r="P120" i="1"/>
  <c r="L310" i="11"/>
  <c r="O310" i="11" s="1"/>
  <c r="P12" i="14"/>
  <c r="L66" i="12"/>
  <c r="O66" i="12" s="1"/>
  <c r="O55" i="9"/>
  <c r="N8" i="7"/>
  <c r="L290" i="15"/>
  <c r="O290" i="15" s="1"/>
  <c r="O273" i="13"/>
  <c r="N8" i="8"/>
  <c r="O292" i="3"/>
  <c r="L118" i="8"/>
  <c r="O118" i="8" s="1"/>
  <c r="M292" i="1"/>
  <c r="P292" i="1" s="1"/>
  <c r="O271" i="13"/>
  <c r="O41" i="8"/>
  <c r="N37" i="8"/>
  <c r="N271" i="1"/>
  <c r="N8" i="9"/>
  <c r="O252" i="7"/>
  <c r="O11" i="14"/>
  <c r="L118" i="7"/>
  <c r="O118" i="7" s="1"/>
  <c r="L271" i="9"/>
  <c r="O271" i="9" s="1"/>
  <c r="O53" i="3"/>
  <c r="O96" i="5"/>
  <c r="O32" i="1"/>
  <c r="L9" i="2"/>
  <c r="O9" i="2" s="1"/>
  <c r="O43" i="2"/>
  <c r="L66" i="2"/>
  <c r="O66" i="2" s="1"/>
  <c r="M290" i="15"/>
  <c r="P290" i="15" s="1"/>
  <c r="L250" i="13"/>
  <c r="O250" i="13" s="1"/>
  <c r="L292" i="1"/>
  <c r="O292" i="1" s="1"/>
  <c r="L53" i="2"/>
  <c r="O53" i="2" s="1"/>
  <c r="O120" i="14"/>
  <c r="L252" i="1"/>
  <c r="O252" i="1" s="1"/>
  <c r="M20" i="11"/>
  <c r="P20" i="11" s="1"/>
  <c r="P20" i="4"/>
  <c r="M16" i="11"/>
  <c r="L20" i="14"/>
  <c r="O20" i="14" s="1"/>
  <c r="L12" i="14"/>
  <c r="L10" i="14" s="1"/>
  <c r="O10" i="14" s="1"/>
  <c r="L94" i="9"/>
  <c r="O94" i="9" s="1"/>
  <c r="L310" i="12"/>
  <c r="O310" i="12" s="1"/>
  <c r="O96" i="3"/>
  <c r="L310" i="8"/>
  <c r="O310" i="8" s="1"/>
  <c r="O312" i="8"/>
  <c r="L20" i="11"/>
  <c r="O20" i="11" s="1"/>
  <c r="L140" i="4"/>
  <c r="O140" i="4" s="1"/>
  <c r="O142" i="4"/>
  <c r="N37" i="5"/>
  <c r="O14" i="11"/>
  <c r="L118" i="13"/>
  <c r="O118" i="13" s="1"/>
  <c r="P273" i="1"/>
  <c r="L329" i="4"/>
  <c r="O329" i="4" s="1"/>
  <c r="P331" i="13"/>
  <c r="O292" i="2"/>
  <c r="L120" i="1"/>
  <c r="O120" i="1" s="1"/>
  <c r="L12" i="9"/>
  <c r="O12" i="9" s="1"/>
  <c r="L118" i="12"/>
  <c r="O118" i="12" s="1"/>
  <c r="L41" i="11"/>
  <c r="O41" i="11" s="1"/>
  <c r="N8" i="10"/>
  <c r="L12" i="11"/>
  <c r="L10" i="11" s="1"/>
  <c r="O10" i="11" s="1"/>
  <c r="O16" i="1"/>
  <c r="P20" i="15"/>
  <c r="M16" i="15"/>
  <c r="P16" i="15" s="1"/>
  <c r="L13" i="1"/>
  <c r="O13" i="1" s="1"/>
  <c r="P26" i="15"/>
  <c r="O26" i="1"/>
  <c r="O30" i="1"/>
  <c r="N28" i="1"/>
  <c r="N11" i="1"/>
  <c r="N9" i="1" s="1"/>
  <c r="L20" i="7"/>
  <c r="O20" i="7" s="1"/>
  <c r="N37" i="13"/>
  <c r="N18" i="15"/>
  <c r="P18" i="15" s="1"/>
  <c r="M20" i="13"/>
  <c r="P20" i="13" s="1"/>
  <c r="L12" i="7"/>
  <c r="O12" i="7" s="1"/>
  <c r="O273" i="14"/>
  <c r="L271" i="14"/>
  <c r="O271" i="14" s="1"/>
  <c r="L312" i="1"/>
  <c r="O312" i="1" s="1"/>
  <c r="O312" i="15"/>
  <c r="L310" i="15"/>
  <c r="O310" i="15" s="1"/>
  <c r="L222" i="1"/>
  <c r="O222" i="1" s="1"/>
  <c r="M329" i="15"/>
  <c r="P329" i="15" s="1"/>
  <c r="M329" i="5"/>
  <c r="P329" i="5" s="1"/>
  <c r="L28" i="14"/>
  <c r="O28" i="14" s="1"/>
  <c r="M16" i="13"/>
  <c r="P16" i="13" s="1"/>
  <c r="L20" i="6"/>
  <c r="L18" i="6" s="1"/>
  <c r="O18" i="6" s="1"/>
  <c r="O142" i="9"/>
  <c r="L140" i="9"/>
  <c r="O140" i="9" s="1"/>
  <c r="L142" i="1"/>
  <c r="O142" i="1" s="1"/>
  <c r="L12" i="6"/>
  <c r="L10" i="6" s="1"/>
  <c r="O10" i="6" s="1"/>
  <c r="L310" i="7"/>
  <c r="O310" i="7" s="1"/>
  <c r="O28" i="10"/>
  <c r="O120" i="9"/>
  <c r="L118" i="9"/>
  <c r="O118" i="9" s="1"/>
  <c r="L11" i="1"/>
  <c r="L29" i="1"/>
  <c r="O31" i="1"/>
  <c r="O18" i="8"/>
  <c r="M331" i="1"/>
  <c r="P331" i="1" s="1"/>
  <c r="L94" i="11"/>
  <c r="O94" i="11" s="1"/>
  <c r="O96" i="11"/>
  <c r="N8" i="6"/>
  <c r="L290" i="8"/>
  <c r="O290" i="8" s="1"/>
  <c r="O292" i="8"/>
  <c r="L94" i="4"/>
  <c r="O94" i="4" s="1"/>
  <c r="O96" i="4"/>
  <c r="P12" i="15"/>
  <c r="O43" i="7"/>
  <c r="L41" i="7"/>
  <c r="O41" i="7" s="1"/>
  <c r="L250" i="4"/>
  <c r="O250" i="4" s="1"/>
  <c r="O252" i="4"/>
  <c r="L220" i="14"/>
  <c r="O220" i="14" s="1"/>
  <c r="O222" i="14"/>
  <c r="L96" i="1"/>
  <c r="O96" i="1" s="1"/>
  <c r="L12" i="8"/>
  <c r="L10" i="8" s="1"/>
  <c r="O10" i="8" s="1"/>
  <c r="O120" i="4"/>
  <c r="L118" i="4"/>
  <c r="O118" i="4" s="1"/>
  <c r="O273" i="6"/>
  <c r="L271" i="6"/>
  <c r="O271" i="6" s="1"/>
  <c r="O312" i="6"/>
  <c r="L310" i="6"/>
  <c r="O310" i="6" s="1"/>
  <c r="O142" i="7"/>
  <c r="N37" i="9"/>
  <c r="P271" i="3"/>
  <c r="O22" i="8"/>
  <c r="M37" i="3"/>
  <c r="P142" i="1"/>
  <c r="O290" i="2"/>
  <c r="O68" i="7"/>
  <c r="L66" i="7"/>
  <c r="O66" i="7" s="1"/>
  <c r="L140" i="12"/>
  <c r="O140" i="12" s="1"/>
  <c r="O142" i="12"/>
  <c r="L53" i="11"/>
  <c r="O55" i="11"/>
  <c r="N37" i="3"/>
  <c r="O312" i="3"/>
  <c r="L310" i="3"/>
  <c r="O310" i="3" s="1"/>
  <c r="O142" i="10"/>
  <c r="L140" i="10"/>
  <c r="O140" i="10" s="1"/>
  <c r="P20" i="5"/>
  <c r="O30" i="12"/>
  <c r="L28" i="12"/>
  <c r="O28" i="12" s="1"/>
  <c r="O120" i="10"/>
  <c r="L118" i="10"/>
  <c r="O118" i="10" s="1"/>
  <c r="P12" i="7"/>
  <c r="M329" i="7"/>
  <c r="P329" i="7" s="1"/>
  <c r="P331" i="7"/>
  <c r="P9" i="15"/>
  <c r="O43" i="5"/>
  <c r="L41" i="5"/>
  <c r="P55" i="1"/>
  <c r="P140" i="2"/>
  <c r="M140" i="1"/>
  <c r="P329" i="2"/>
  <c r="O68" i="8"/>
  <c r="L66" i="8"/>
  <c r="O66" i="8" s="1"/>
  <c r="L9" i="13"/>
  <c r="O11" i="13"/>
  <c r="P26" i="12"/>
  <c r="M16" i="12"/>
  <c r="M20" i="12"/>
  <c r="M66" i="1"/>
  <c r="P26" i="2"/>
  <c r="M16" i="2"/>
  <c r="P16" i="2" s="1"/>
  <c r="P9" i="10"/>
  <c r="O9" i="14"/>
  <c r="P53" i="7"/>
  <c r="P12" i="2"/>
  <c r="P9" i="8"/>
  <c r="O55" i="8"/>
  <c r="L53" i="8"/>
  <c r="P12" i="9"/>
  <c r="P26" i="10"/>
  <c r="M16" i="10"/>
  <c r="P16" i="10" s="1"/>
  <c r="P140" i="13"/>
  <c r="M10" i="6"/>
  <c r="P12" i="6"/>
  <c r="O29" i="15"/>
  <c r="L28" i="15"/>
  <c r="O28" i="15" s="1"/>
  <c r="O9" i="8"/>
  <c r="M329" i="14"/>
  <c r="P329" i="14" s="1"/>
  <c r="P331" i="14"/>
  <c r="L20" i="5"/>
  <c r="O22" i="5"/>
  <c r="L12" i="5"/>
  <c r="O9" i="5"/>
  <c r="O29" i="13"/>
  <c r="L28" i="13"/>
  <c r="L20" i="15"/>
  <c r="O22" i="15"/>
  <c r="L12" i="15"/>
  <c r="P12" i="4"/>
  <c r="P9" i="9"/>
  <c r="L20" i="4"/>
  <c r="O22" i="4"/>
  <c r="L12" i="4"/>
  <c r="M10" i="8"/>
  <c r="P10" i="8" s="1"/>
  <c r="P12" i="8"/>
  <c r="P20" i="10"/>
  <c r="M18" i="10"/>
  <c r="P18" i="10" s="1"/>
  <c r="P12" i="5"/>
  <c r="N28" i="13"/>
  <c r="L20" i="13"/>
  <c r="O22" i="13"/>
  <c r="L12" i="13"/>
  <c r="O140" i="13"/>
  <c r="P26" i="14"/>
  <c r="M16" i="14"/>
  <c r="M20" i="14"/>
  <c r="N140" i="1"/>
  <c r="O140" i="7"/>
  <c r="N14" i="1"/>
  <c r="O34" i="1"/>
  <c r="P26" i="7"/>
  <c r="M16" i="7"/>
  <c r="P16" i="7" s="1"/>
  <c r="O9" i="11"/>
  <c r="L10" i="2"/>
  <c r="O12" i="2"/>
  <c r="L9" i="3"/>
  <c r="O11" i="3"/>
  <c r="P9" i="11"/>
  <c r="O57" i="1"/>
  <c r="L55" i="1"/>
  <c r="O9" i="9"/>
  <c r="O29" i="11"/>
  <c r="L28" i="11"/>
  <c r="O28" i="11" s="1"/>
  <c r="P16" i="3"/>
  <c r="O41" i="12"/>
  <c r="P9" i="4"/>
  <c r="O331" i="5"/>
  <c r="L329" i="5"/>
  <c r="O329" i="5" s="1"/>
  <c r="P12" i="10"/>
  <c r="P9" i="14"/>
  <c r="N10" i="2"/>
  <c r="N8" i="2" s="1"/>
  <c r="N10" i="3"/>
  <c r="N8" i="3" s="1"/>
  <c r="P41" i="12"/>
  <c r="M37" i="12"/>
  <c r="P37" i="12" s="1"/>
  <c r="M271" i="1"/>
  <c r="P20" i="9"/>
  <c r="M18" i="9"/>
  <c r="P18" i="9" s="1"/>
  <c r="O9" i="12"/>
  <c r="O43" i="3"/>
  <c r="L41" i="3"/>
  <c r="P9" i="5"/>
  <c r="O30" i="5"/>
  <c r="L28" i="5"/>
  <c r="O28" i="5" s="1"/>
  <c r="O43" i="13"/>
  <c r="L41" i="13"/>
  <c r="N37" i="10"/>
  <c r="O41" i="2"/>
  <c r="P20" i="2"/>
  <c r="M18" i="2"/>
  <c r="P18" i="2" s="1"/>
  <c r="P140" i="7"/>
  <c r="P20" i="6"/>
  <c r="M18" i="6"/>
  <c r="P18" i="6" s="1"/>
  <c r="O118" i="3"/>
  <c r="N66" i="1"/>
  <c r="N37" i="2"/>
  <c r="P250" i="2"/>
  <c r="M250" i="1"/>
  <c r="P250" i="1" s="1"/>
  <c r="O29" i="8"/>
  <c r="L28" i="8"/>
  <c r="O28" i="8" s="1"/>
  <c r="O29" i="3"/>
  <c r="L28" i="3"/>
  <c r="O28" i="3" s="1"/>
  <c r="P310" i="2"/>
  <c r="O29" i="6"/>
  <c r="L28" i="6"/>
  <c r="O28" i="6" s="1"/>
  <c r="N37" i="7"/>
  <c r="O41" i="9"/>
  <c r="P41" i="2"/>
  <c r="M37" i="2"/>
  <c r="O222" i="4"/>
  <c r="L220" i="4"/>
  <c r="O220" i="4" s="1"/>
  <c r="P331" i="9"/>
  <c r="M329" i="9"/>
  <c r="P329" i="9" s="1"/>
  <c r="P20" i="8"/>
  <c r="N28" i="2"/>
  <c r="O28" i="2" s="1"/>
  <c r="O30" i="2"/>
  <c r="O55" i="5"/>
  <c r="L53" i="5"/>
  <c r="O53" i="5" s="1"/>
  <c r="P18" i="5"/>
  <c r="L68" i="1"/>
  <c r="O68" i="1" s="1"/>
  <c r="M37" i="8"/>
  <c r="P41" i="9"/>
  <c r="L41" i="15"/>
  <c r="O43" i="15"/>
  <c r="O9" i="15"/>
  <c r="O222" i="3"/>
  <c r="L220" i="3"/>
  <c r="L9" i="6"/>
  <c r="O11" i="6"/>
  <c r="O222" i="10"/>
  <c r="L220" i="10"/>
  <c r="L53" i="13"/>
  <c r="O53" i="13" s="1"/>
  <c r="O55" i="13"/>
  <c r="P9" i="2"/>
  <c r="P118" i="3"/>
  <c r="O30" i="9"/>
  <c r="L28" i="9"/>
  <c r="O28" i="9" s="1"/>
  <c r="O29" i="7"/>
  <c r="L28" i="7"/>
  <c r="O28" i="7" s="1"/>
  <c r="P18" i="8"/>
  <c r="M18" i="4"/>
  <c r="P18" i="4" s="1"/>
  <c r="P53" i="5"/>
  <c r="L20" i="3"/>
  <c r="O22" i="3"/>
  <c r="L12" i="3"/>
  <c r="P41" i="6"/>
  <c r="M37" i="6"/>
  <c r="M118" i="1"/>
  <c r="P118" i="1" s="1"/>
  <c r="L271" i="10"/>
  <c r="O271" i="10" s="1"/>
  <c r="O273" i="10"/>
  <c r="L9" i="7"/>
  <c r="O11" i="7"/>
  <c r="O312" i="9"/>
  <c r="L310" i="9"/>
  <c r="L273" i="1"/>
  <c r="O273" i="1" s="1"/>
  <c r="P222" i="1"/>
  <c r="P12" i="13"/>
  <c r="L331" i="1"/>
  <c r="O331" i="1" s="1"/>
  <c r="L9" i="4"/>
  <c r="O11" i="4"/>
  <c r="P26" i="9"/>
  <c r="M16" i="9"/>
  <c r="P16" i="9" s="1"/>
  <c r="P49" i="1"/>
  <c r="M26" i="1"/>
  <c r="M20" i="1" s="1"/>
  <c r="M43" i="1"/>
  <c r="P20" i="3"/>
  <c r="M18" i="3"/>
  <c r="P18" i="3" s="1"/>
  <c r="P26" i="4"/>
  <c r="M16" i="4"/>
  <c r="P16" i="4" s="1"/>
  <c r="P9" i="12"/>
  <c r="L41" i="4"/>
  <c r="O43" i="4"/>
  <c r="O45" i="1"/>
  <c r="L43" i="1"/>
  <c r="L22" i="1"/>
  <c r="N8" i="5"/>
  <c r="P22" i="1"/>
  <c r="M12" i="1"/>
  <c r="O142" i="5"/>
  <c r="L140" i="5"/>
  <c r="O96" i="6"/>
  <c r="L94" i="6"/>
  <c r="L20" i="12"/>
  <c r="O22" i="12"/>
  <c r="L12" i="12"/>
  <c r="O292" i="12"/>
  <c r="L290" i="12"/>
  <c r="O290" i="12" s="1"/>
  <c r="M220" i="1"/>
  <c r="P220" i="1" s="1"/>
  <c r="P68" i="1"/>
  <c r="O96" i="8"/>
  <c r="L94" i="8"/>
  <c r="O94" i="8" s="1"/>
  <c r="P290" i="2"/>
  <c r="O68" i="9"/>
  <c r="L66" i="9"/>
  <c r="O66" i="9" s="1"/>
  <c r="O29" i="4"/>
  <c r="L28" i="4"/>
  <c r="O28" i="4" s="1"/>
  <c r="M20" i="7"/>
  <c r="P96" i="9"/>
  <c r="M94" i="9"/>
  <c r="P94" i="9" s="1"/>
  <c r="P43" i="10"/>
  <c r="M41" i="10"/>
  <c r="M10" i="3"/>
  <c r="P12" i="3"/>
  <c r="P331" i="4"/>
  <c r="M329" i="4"/>
  <c r="P329" i="4" s="1"/>
  <c r="O20" i="8"/>
  <c r="M37" i="13" l="1"/>
  <c r="M310" i="1"/>
  <c r="P310" i="1" s="1"/>
  <c r="P37" i="6"/>
  <c r="L18" i="2"/>
  <c r="O18" i="2" s="1"/>
  <c r="L10" i="7"/>
  <c r="O10" i="7" s="1"/>
  <c r="N8" i="1"/>
  <c r="L10" i="10"/>
  <c r="O10" i="10" s="1"/>
  <c r="O20" i="9"/>
  <c r="M18" i="11"/>
  <c r="P18" i="11" s="1"/>
  <c r="M37" i="5"/>
  <c r="P37" i="5" s="1"/>
  <c r="O14" i="1"/>
  <c r="M37" i="11"/>
  <c r="P37" i="11" s="1"/>
  <c r="M10" i="5"/>
  <c r="P10" i="5" s="1"/>
  <c r="O12" i="14"/>
  <c r="M10" i="15"/>
  <c r="P10" i="15" s="1"/>
  <c r="L18" i="14"/>
  <c r="O18" i="14" s="1"/>
  <c r="O20" i="10"/>
  <c r="L18" i="11"/>
  <c r="O18" i="11" s="1"/>
  <c r="L18" i="7"/>
  <c r="O18" i="7" s="1"/>
  <c r="M37" i="7"/>
  <c r="P37" i="7" s="1"/>
  <c r="P271" i="1"/>
  <c r="L8" i="2"/>
  <c r="O8" i="2" s="1"/>
  <c r="L10" i="9"/>
  <c r="O10" i="9" s="1"/>
  <c r="L37" i="2"/>
  <c r="O37" i="2" s="1"/>
  <c r="P37" i="8"/>
  <c r="L37" i="6"/>
  <c r="O37" i="6" s="1"/>
  <c r="M290" i="1"/>
  <c r="P290" i="1" s="1"/>
  <c r="M10" i="10"/>
  <c r="P10" i="10" s="1"/>
  <c r="M18" i="13"/>
  <c r="P18" i="13" s="1"/>
  <c r="P16" i="11"/>
  <c r="M10" i="11"/>
  <c r="O12" i="11"/>
  <c r="L329" i="1"/>
  <c r="O329" i="1" s="1"/>
  <c r="O12" i="8"/>
  <c r="P37" i="3"/>
  <c r="O12" i="6"/>
  <c r="M37" i="15"/>
  <c r="P37" i="15" s="1"/>
  <c r="P37" i="13"/>
  <c r="L250" i="1"/>
  <c r="O250" i="1" s="1"/>
  <c r="M37" i="14"/>
  <c r="P37" i="14" s="1"/>
  <c r="O20" i="6"/>
  <c r="M10" i="13"/>
  <c r="P10" i="13" s="1"/>
  <c r="L37" i="7"/>
  <c r="O37" i="7" s="1"/>
  <c r="L118" i="1"/>
  <c r="O118" i="1" s="1"/>
  <c r="M10" i="2"/>
  <c r="M8" i="2" s="1"/>
  <c r="P8" i="2" s="1"/>
  <c r="O29" i="1"/>
  <c r="L28" i="1"/>
  <c r="O28" i="1" s="1"/>
  <c r="O11" i="1"/>
  <c r="L9" i="1"/>
  <c r="O9" i="1" s="1"/>
  <c r="N37" i="1"/>
  <c r="L37" i="14"/>
  <c r="O37" i="14" s="1"/>
  <c r="O53" i="11"/>
  <c r="L37" i="11"/>
  <c r="O37" i="11" s="1"/>
  <c r="M37" i="4"/>
  <c r="P37" i="4" s="1"/>
  <c r="P20" i="1"/>
  <c r="M18" i="1"/>
  <c r="P18" i="1" s="1"/>
  <c r="O9" i="6"/>
  <c r="L8" i="6"/>
  <c r="O8" i="6" s="1"/>
  <c r="O41" i="15"/>
  <c r="L37" i="15"/>
  <c r="O37" i="15" s="1"/>
  <c r="M10" i="9"/>
  <c r="P66" i="1"/>
  <c r="M329" i="1"/>
  <c r="P329" i="1" s="1"/>
  <c r="P10" i="3"/>
  <c r="M8" i="3"/>
  <c r="P8" i="3" s="1"/>
  <c r="O12" i="12"/>
  <c r="L10" i="12"/>
  <c r="L20" i="1"/>
  <c r="L12" i="1"/>
  <c r="O22" i="1"/>
  <c r="O41" i="13"/>
  <c r="L37" i="13"/>
  <c r="O37" i="13" s="1"/>
  <c r="L66" i="1"/>
  <c r="O66" i="1" s="1"/>
  <c r="O20" i="13"/>
  <c r="L18" i="13"/>
  <c r="O18" i="13" s="1"/>
  <c r="M10" i="4"/>
  <c r="O53" i="8"/>
  <c r="L37" i="8"/>
  <c r="O37" i="8" s="1"/>
  <c r="P20" i="12"/>
  <c r="M18" i="12"/>
  <c r="P18" i="12" s="1"/>
  <c r="L290" i="1"/>
  <c r="O290" i="1" s="1"/>
  <c r="O310" i="9"/>
  <c r="L310" i="1"/>
  <c r="O310" i="1" s="1"/>
  <c r="O12" i="3"/>
  <c r="L10" i="3"/>
  <c r="O10" i="3" s="1"/>
  <c r="O220" i="3"/>
  <c r="L220" i="1"/>
  <c r="O220" i="1" s="1"/>
  <c r="O12" i="4"/>
  <c r="L10" i="4"/>
  <c r="O10" i="4" s="1"/>
  <c r="O12" i="15"/>
  <c r="L10" i="15"/>
  <c r="L8" i="14"/>
  <c r="O8" i="14" s="1"/>
  <c r="P16" i="12"/>
  <c r="M10" i="12"/>
  <c r="P140" i="1"/>
  <c r="P41" i="10"/>
  <c r="M37" i="10"/>
  <c r="P37" i="10" s="1"/>
  <c r="P20" i="7"/>
  <c r="M18" i="7"/>
  <c r="P18" i="7" s="1"/>
  <c r="O20" i="12"/>
  <c r="L18" i="12"/>
  <c r="O18" i="12" s="1"/>
  <c r="P12" i="1"/>
  <c r="O9" i="4"/>
  <c r="M37" i="9"/>
  <c r="P37" i="9" s="1"/>
  <c r="P37" i="2"/>
  <c r="O55" i="1"/>
  <c r="L53" i="1"/>
  <c r="O53" i="1" s="1"/>
  <c r="O9" i="3"/>
  <c r="L8" i="3"/>
  <c r="O8" i="3" s="1"/>
  <c r="P20" i="14"/>
  <c r="M18" i="14"/>
  <c r="P18" i="14" s="1"/>
  <c r="O12" i="5"/>
  <c r="L10" i="5"/>
  <c r="P10" i="6"/>
  <c r="M8" i="6"/>
  <c r="P8" i="6" s="1"/>
  <c r="M8" i="8"/>
  <c r="P8" i="8" s="1"/>
  <c r="M94" i="1"/>
  <c r="P94" i="1" s="1"/>
  <c r="O94" i="6"/>
  <c r="L94" i="1"/>
  <c r="O94" i="1" s="1"/>
  <c r="O20" i="3"/>
  <c r="L18" i="3"/>
  <c r="O18" i="3" s="1"/>
  <c r="L271" i="1"/>
  <c r="O271" i="1" s="1"/>
  <c r="L37" i="12"/>
  <c r="O37" i="12" s="1"/>
  <c r="P16" i="14"/>
  <c r="M10" i="14"/>
  <c r="O20" i="4"/>
  <c r="L18" i="4"/>
  <c r="O18" i="4" s="1"/>
  <c r="O20" i="15"/>
  <c r="L18" i="15"/>
  <c r="O18" i="15" s="1"/>
  <c r="L8" i="8"/>
  <c r="O8" i="8" s="1"/>
  <c r="O140" i="5"/>
  <c r="L140" i="1"/>
  <c r="O140" i="1" s="1"/>
  <c r="O43" i="1"/>
  <c r="L41" i="1"/>
  <c r="P43" i="1"/>
  <c r="M41" i="1"/>
  <c r="O9" i="7"/>
  <c r="O220" i="10"/>
  <c r="L37" i="10"/>
  <c r="O37" i="10" s="1"/>
  <c r="L37" i="9"/>
  <c r="O37" i="9" s="1"/>
  <c r="O10" i="2"/>
  <c r="O28" i="13"/>
  <c r="O20" i="5"/>
  <c r="L18" i="5"/>
  <c r="O18" i="5" s="1"/>
  <c r="O9" i="13"/>
  <c r="O41" i="4"/>
  <c r="L37" i="4"/>
  <c r="O37" i="4" s="1"/>
  <c r="P26" i="1"/>
  <c r="M16" i="1"/>
  <c r="P16" i="1" s="1"/>
  <c r="L8" i="11"/>
  <c r="O8" i="11" s="1"/>
  <c r="M10" i="7"/>
  <c r="O41" i="3"/>
  <c r="L37" i="3"/>
  <c r="O37" i="3" s="1"/>
  <c r="O12" i="13"/>
  <c r="L10" i="13"/>
  <c r="O10" i="13" s="1"/>
  <c r="L37" i="5"/>
  <c r="O37" i="5" s="1"/>
  <c r="O41" i="5"/>
  <c r="L8" i="7" l="1"/>
  <c r="O8" i="7" s="1"/>
  <c r="M8" i="15"/>
  <c r="P8" i="15" s="1"/>
  <c r="L8" i="10"/>
  <c r="O8" i="10" s="1"/>
  <c r="M8" i="5"/>
  <c r="P8" i="5" s="1"/>
  <c r="L8" i="9"/>
  <c r="O8" i="9" s="1"/>
  <c r="M8" i="10"/>
  <c r="P8" i="10" s="1"/>
  <c r="M8" i="13"/>
  <c r="P8" i="13" s="1"/>
  <c r="P10" i="11"/>
  <c r="M8" i="11"/>
  <c r="P8" i="11" s="1"/>
  <c r="P10" i="2"/>
  <c r="L8" i="13"/>
  <c r="O8" i="13" s="1"/>
  <c r="P10" i="4"/>
  <c r="M8" i="4"/>
  <c r="P8" i="4" s="1"/>
  <c r="O20" i="1"/>
  <c r="L18" i="1"/>
  <c r="O18" i="1" s="1"/>
  <c r="P10" i="9"/>
  <c r="M8" i="9"/>
  <c r="P8" i="9" s="1"/>
  <c r="O41" i="1"/>
  <c r="L37" i="1"/>
  <c r="O37" i="1" s="1"/>
  <c r="O10" i="12"/>
  <c r="L8" i="12"/>
  <c r="O8" i="12" s="1"/>
  <c r="L10" i="1"/>
  <c r="O12" i="1"/>
  <c r="P10" i="7"/>
  <c r="M8" i="7"/>
  <c r="P8" i="7" s="1"/>
  <c r="P10" i="14"/>
  <c r="M8" i="14"/>
  <c r="P8" i="14" s="1"/>
  <c r="L8" i="4"/>
  <c r="O8" i="4" s="1"/>
  <c r="O10" i="5"/>
  <c r="L8" i="5"/>
  <c r="O8" i="5" s="1"/>
  <c r="M10" i="1"/>
  <c r="P10" i="12"/>
  <c r="M8" i="12"/>
  <c r="P8" i="12" s="1"/>
  <c r="M37" i="1"/>
  <c r="P37" i="1" s="1"/>
  <c r="P41" i="1"/>
  <c r="O10" i="15"/>
  <c r="L8" i="15"/>
  <c r="O8" i="15" s="1"/>
  <c r="P10" i="1" l="1"/>
  <c r="M8" i="1"/>
  <c r="P8" i="1" s="1"/>
  <c r="O10" i="1"/>
  <c r="L8" i="1"/>
  <c r="O8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L32" authorId="0" shapeId="0" xr:uid="{00000000-0006-0000-0800-000001000000}">
      <text>
        <r>
          <rPr>
            <sz val="11"/>
            <color theme="1"/>
            <rFont val="Calibri"/>
            <scheme val="minor"/>
          </rPr>
          <t>หักงบลงทุนออก</t>
        </r>
      </text>
    </comment>
  </commentList>
</comments>
</file>

<file path=xl/sharedStrings.xml><?xml version="1.0" encoding="utf-8"?>
<sst xmlns="http://schemas.openxmlformats.org/spreadsheetml/2006/main" count="18750" uniqueCount="269">
  <si>
    <t>รายละเอียดแผนงาน/โครงการ ผลผลิต/กิจกรรม ปีงบประมาณ พ.ศ. 2565</t>
  </si>
  <si>
    <t>ภาคใต้</t>
  </si>
  <si>
    <t>แผนงาน/โครงการ/กิจกรรม</t>
  </si>
  <si>
    <t>หน่วย</t>
  </si>
  <si>
    <t>แผนงาน-ผลงาน</t>
  </si>
  <si>
    <t>งบประมาณ (บาท)</t>
  </si>
  <si>
    <t>ผลการเบิกจ่าย</t>
  </si>
  <si>
    <t>แผนงาน</t>
  </si>
  <si>
    <t>ผลงาน</t>
  </si>
  <si>
    <t>ร้อยละ</t>
  </si>
  <si>
    <t>ได้รับ</t>
  </si>
  <si>
    <t>จัดสรร</t>
  </si>
  <si>
    <t>บาท</t>
  </si>
  <si>
    <t>ร้อยละ(ได้รับ)</t>
  </si>
  <si>
    <t>ร้อยละ(จัดสรร)</t>
  </si>
  <si>
    <t>รวม งบประมาณตาม พรบ.+ งบประมาณกองทุน</t>
  </si>
  <si>
    <t>◾</t>
  </si>
  <si>
    <t>รวมงบประมาณ</t>
  </si>
  <si>
    <t>- ส.ป.ก.ส่วนกลาง</t>
  </si>
  <si>
    <t>- ส.ป.ก.จังหวัด</t>
  </si>
  <si>
    <t>งบดำเนินงาน</t>
  </si>
  <si>
    <t>- งบบริหารสำนักงาน</t>
  </si>
  <si>
    <t>- งบเนื้องาน</t>
  </si>
  <si>
    <t>งบลงทุน</t>
  </si>
  <si>
    <t>รวม งบประมาณตาม พรบ.</t>
  </si>
  <si>
    <t>รวม งบประมาณกองทุน</t>
  </si>
  <si>
    <t>งบประมาณตาม พรบ.งบประมาณ 2565</t>
  </si>
  <si>
    <t>แผนงานพื้นฐานด้านการสร้างความสามารถในการแข่งขัน</t>
  </si>
  <si>
    <t>ผลผลิตที่ 1 การปฏิรูปที่ดินเพื่อเกษตรกรรม</t>
  </si>
  <si>
    <t>กิจกรรมบริหารจัดการ</t>
  </si>
  <si>
    <t>แผนงานบุคลากรภาครัฐ</t>
  </si>
  <si>
    <t>รายการค่าใช้จ่ายบุคลากรภาครัฐ</t>
  </si>
  <si>
    <t>กิจกรรมพัฒนาการเกษตรยั่งยืน</t>
  </si>
  <si>
    <t>แผนงานยุทธศาสตร์การเกษตรสร้างมูลค่า</t>
  </si>
  <si>
    <t>โครงการที่ 1 : โครงการระบบส่งเสริมเกษตรแบบแปลงใหญ่</t>
  </si>
  <si>
    <t>กิจกรรมส่งเสริมการเกษตรแบบแปลงใหญ่</t>
  </si>
  <si>
    <t>แปลง</t>
  </si>
  <si>
    <t>ราย</t>
  </si>
  <si>
    <t xml:space="preserve"> - ส.ป.ก.ส่วนกลาง </t>
  </si>
  <si>
    <t xml:space="preserve"> </t>
  </si>
  <si>
    <t xml:space="preserve"> - ส.ป.ก.จังหวัด  </t>
  </si>
  <si>
    <t xml:space="preserve"> - งบบริหารสำนักงาน</t>
  </si>
  <si>
    <t xml:space="preserve"> - งบเนื้องาน</t>
  </si>
  <si>
    <t>ขั้นตอนการดำเนินงาน (ระบุ 1 ในช่อง 1 2  หรือ 3 เพียงข้อเดียว เท่านั้น)</t>
  </si>
  <si>
    <t>ยังไม่ดำเนินการ</t>
  </si>
  <si>
    <t xml:space="preserve">อยู่ระหว่างดำเนินการ </t>
  </si>
  <si>
    <t>2.1 จัดทำโครงการ (ดำเนินการแล้วเสร็จให้ระบุ 1)</t>
  </si>
  <si>
    <t>2.2 อยู่ระหว่างดำเนินการตามโครงการ (ถ้าอยู่ระหว่างดำเนินการให้ระบุ 1)</t>
  </si>
  <si>
    <t xml:space="preserve"> - อบรมเกษตรกร  </t>
  </si>
  <si>
    <t xml:space="preserve"> - แปลงใหญ่ ปี 2565</t>
  </si>
  <si>
    <t xml:space="preserve"> - แปลงใหญ่ ปี 2564</t>
  </si>
  <si>
    <t xml:space="preserve"> - แปลงใหญ่ ปี 2563</t>
  </si>
  <si>
    <t xml:space="preserve"> - สนับสนุนปัจจัยการผลิต</t>
  </si>
  <si>
    <t>2.3 ประเมินผล (ดำเนินการแล้วเสร็จให้ระบุ 1)</t>
  </si>
  <si>
    <t>ดำเนินการแล้วเสร็จ</t>
  </si>
  <si>
    <t>โครงการที่ 2 : โครงการส่งเสริมการผลิตสินค้าเกษตรเศรษฐกิจชีวภาพ
ตามความต้องการของตลาด (พืชสมุนไพร แมลงเศรษฐกิจ และไม้มีค่า)</t>
  </si>
  <si>
    <t>กิจกรรม ส่งเสริมการแปรรูปสมุนไพรด้วยโรงอบพลังงานแสงอาทิตย์ต้นทุนต่ำ
ในเขตปฏิรูปที่ดิน</t>
  </si>
  <si>
    <t xml:space="preserve">  จัดทำโรงอบ (งบลงทุน)</t>
  </si>
  <si>
    <t>แห่ง</t>
  </si>
  <si>
    <t>1. การเตรียมการ (การจัดทำฐานข้อมูลสมุนไพรและแผนการผลิตคามความต้องการตลาด)</t>
  </si>
  <si>
    <t>จังหวัด</t>
  </si>
  <si>
    <t>2. อบรมเกษตรกรผู้เข้าร่วมโครงการ (หลักสูตรที่ 1-3 เป้าหมายเดียวกัน)</t>
  </si>
  <si>
    <t>หลักสูตรที่ 1 การใช้ประโยชน์และการดูแลรักษาโรงอบพลังงานแสงอาทิตย์ต้นทุนต่ำ</t>
  </si>
  <si>
    <t>หลักสูตรที่ 2 การเพิ่มมูลค่าผลิตภัณฑ์สมุนไพรและมาตรฐานสินค้า</t>
  </si>
  <si>
    <t>หลักสูตรที่ 3 การส่งเสริมด้านการตลาดผลิตภัณฑ์สมุนไพ</t>
  </si>
  <si>
    <t>3. จัดทำโรงอบ (งบลงทุน)</t>
  </si>
  <si>
    <t xml:space="preserve">โครงการที่ 3 : โครงการส่งเสริมสินค้าเกษตรเข้าสู่ระบบรับรองมาตรฐานเกษตรปลอดภัย เกษตรอินทรีย์ และระบบตรวจสอบย้อนกลับ </t>
  </si>
  <si>
    <t xml:space="preserve"> กิจกรรมเตรียมความพร้อมเกษตรกรเข้าสู่ระบบรับรองมาตรฐานเกษตรปลอดภัยและการตรวจรับรองมาตรฐาน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</si>
  <si>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</si>
  <si>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อบรมเกษตรกร</t>
  </si>
  <si>
    <t xml:space="preserve"> - เกษตรกรยื่นขอรับการรับรองมาตรฐานสินค้า</t>
  </si>
  <si>
    <t>แผนงานยุทธศาสตร์เสริมสร้างพลังทางสังคม</t>
  </si>
  <si>
    <t>โครงการที่ 1 : โครงการส่งเสริมการดำเนินงานอันเนื่องมาจากพระราชดำริ</t>
  </si>
  <si>
    <t>กิจกรรมพัฒนาตามแนวทางพระราชดำริ</t>
  </si>
  <si>
    <t>(เป้าหมายโครงการ เกษตรกรผู้เข้ารับการอบรมจากโครงการหญ้าแฝก และโครงการพระราชดำริ 11 พื้นที่)</t>
  </si>
  <si>
    <t>(1) โครงการคลินิกเกษตรเคลื่อนที่ในพระราชานุเคราะห์ ฯ</t>
  </si>
  <si>
    <t>ครั้ง</t>
  </si>
  <si>
    <t>งบประมาณ</t>
  </si>
  <si>
    <t xml:space="preserve"> - ออกหน่วยบริการคลินิกเกษตรเคลื่อนที่</t>
  </si>
  <si>
    <t>- เกษตรกรใช้บริการคลินิก</t>
  </si>
  <si>
    <t>- บริการเบ็ดเสร็จ</t>
  </si>
  <si>
    <t>- บริการต่อเนื่อง</t>
  </si>
  <si>
    <t>(2) โครงการอนุรักษ์พันธุกรรมพืชฯ (อพ.สธ.)</t>
  </si>
  <si>
    <t>โรงเรียน</t>
  </si>
  <si>
    <t xml:space="preserve"> - จัดฝึกอบรม</t>
  </si>
  <si>
    <t>(3) โครงการเพิ่มศักยภาพระบบงานเกษตรภายใต้แผนพัฒนาเด็กและเยาวชนในถิ่นทุรกันดารฯ</t>
  </si>
  <si>
    <t xml:space="preserve"> - สนับสนุนวัสดุการเกษตร</t>
  </si>
  <si>
    <t xml:space="preserve"> - ฝึกอบรมเด็กและเยาวชน</t>
  </si>
  <si>
    <t xml:space="preserve">(4) โครงการพัฒนาและรณรงค์การใช้หญ้าแฝก </t>
  </si>
  <si>
    <t>กล้า</t>
  </si>
  <si>
    <t xml:space="preserve"> - ส่งเสริมการปลูกหญ้าแฝก</t>
  </si>
  <si>
    <t xml:space="preserve"> - ประสานขอรับพันธุ์กล้าจากสำนักงานพัฒนาที่ดิน</t>
  </si>
  <si>
    <t xml:space="preserve"> - ปลูกหญ้าแฝก</t>
  </si>
  <si>
    <t xml:space="preserve"> - การฝึกอบรมจัดทำแปลงเรียนรู้
ประโยชน์จากหญ้าแฝก </t>
  </si>
  <si>
    <t>(5) โครงการอันเนื่องมาจากพระราชดำริพัฒนาความรู้ 12 โครงการ</t>
  </si>
  <si>
    <t xml:space="preserve"> - อบรมเกษตรกรในพื้นที่โครงการ</t>
  </si>
  <si>
    <t xml:space="preserve"> - รายบุคคล</t>
  </si>
  <si>
    <t xml:space="preserve"> - แปลง/ศูนย์/แห่ง</t>
  </si>
  <si>
    <t xml:space="preserve">กิจกรรมพัฒนาและส่งเสริมศิลปหัตถกรรม  </t>
  </si>
  <si>
    <t xml:space="preserve">(1) หลักสูตรศิลปาชีพเพื่อเกษตรในเขตปฏิรูปที่ดิน  (อบรมโดย ส.ป.ก.จังหวัด)  </t>
  </si>
  <si>
    <t xml:space="preserve">(2) หลักสูตรศิลปาชีพเพื่อผู้สนใจ (อบรมโดย ศพส.)  </t>
  </si>
  <si>
    <t xml:space="preserve"> - อบรมเกษตรกร </t>
  </si>
  <si>
    <t>แผนงานบูรณาการพัฒนาและส่งเสริมเศรษฐกิจฐานราก</t>
  </si>
  <si>
    <t>โครงการที่ 1 : โครงการพัฒนาเกษตรกรปราดเปรื่อง (Smart Farmer)</t>
  </si>
  <si>
    <t>กิจกรรมสร้างและพัฒนาเกษตรกรรุ่นใหม่</t>
  </si>
  <si>
    <t>1. พัฒนาพื้นที่/จัดตั้งศูนย์ต้นแบบ/องค์ความรู้</t>
  </si>
  <si>
    <t>2. พัฒนาเกษตรกร (ฝึกอบรมและขยายผลองค์ความรู้ฯ)</t>
  </si>
  <si>
    <t>3. สนับสนุนปัจจัยการผลิต</t>
  </si>
  <si>
    <t>4. คัดเลือกเกษตรกรต้นแบบ (จังหวัดละ 1 ราย)</t>
  </si>
  <si>
    <t>กิจกรรมพัฒนาเกษตรกรปราดเปรื่องในเขตปฏิรูปที่ดิน (Smart Farmer)</t>
  </si>
  <si>
    <t xml:space="preserve"> - พัฒนาเกษตรกร (ฝึกอบรมและขยายผลองค์ความรู้ฯ)</t>
  </si>
  <si>
    <t>โครงการที่ 2 : โครงการส่งเสริมและพัฒนาอาชีพเพื่อแก้ไขปัญหาที่ดินทำกินของเกษตรกร</t>
  </si>
  <si>
    <t>กิจกรรมยกระดับรายได้เกษตรกรในเขตปฏิรูปที่ดินเพื่อลดความเหลื่อมล้ำ</t>
  </si>
  <si>
    <t xml:space="preserve"> - อบรมเชิงปฏิบัติการเพื่อถ่ายทอดองค์ความรู้สร้างความเข้มแข็งของสหกรณ์</t>
  </si>
  <si>
    <t xml:space="preserve">   และการเพิ่มมูลค่าสินค้าทางการเกษตร</t>
  </si>
  <si>
    <t>กิจกรรมบริหารจัดการพื้นที่ที่ดินแปลงรวม</t>
  </si>
  <si>
    <t>พื้นที่</t>
  </si>
  <si>
    <t xml:space="preserve"> - ประสาน/สำรวจพื้นที่/ประสานหน่วยงานที่เกี่ยวข้อง</t>
  </si>
  <si>
    <t>โครงการที่ 3 : โครงการบริหารจัดการที่ดินทำกินแก่เกษตรกรรายย่อยและผู้ด้อยโอกาส</t>
  </si>
  <si>
    <t>กิจกรรมจัดที่ดิน (ข้อมูลจาก ALRO Land Online)</t>
  </si>
  <si>
    <t>แปลงเกษตรกรรม</t>
  </si>
  <si>
    <t>- รังวัด</t>
  </si>
  <si>
    <t>ไร่</t>
  </si>
  <si>
    <t>- สอบสวนสิทธิ</t>
  </si>
  <si>
    <t>- คปจ.</t>
  </si>
  <si>
    <t>- มอบ ส.ป.ก. 4-01</t>
  </si>
  <si>
    <t>งบประมาณกองทุนการปฏิรูปที่ดินเพื่อเกษตรกรรม</t>
  </si>
  <si>
    <t>โครงการเพื่อการปฏิรูปที่ดินเพื่อเกษตรกรรมที่เร่งด่วนและเป็นภารกิจของ ส.ป.ก.</t>
  </si>
  <si>
    <t>โครงการส่งเสริมเกษตรอินทรีย์ในเขตปฏิรูปที่ดิน</t>
  </si>
  <si>
    <t xml:space="preserve">    - งบบริหารสำนักงาน</t>
  </si>
  <si>
    <t xml:space="preserve">    - งบเนื้องาน</t>
  </si>
  <si>
    <t xml:space="preserve">       1) ฝึกอบรม </t>
  </si>
  <si>
    <t xml:space="preserve">       2) วัสดุการเกษตร </t>
  </si>
  <si>
    <t xml:space="preserve">       3) จ้างเหมาบริการ</t>
  </si>
  <si>
    <t xml:space="preserve">       4) ดำเนินงาน (ค่าใช้สอย เบี้ยเลี้ยง ที่พัก พาหนะ วัสดุสำนักงาน วัสดุเชื้อเพลิง วัสดุคอมพิวเตอร์)</t>
  </si>
  <si>
    <t xml:space="preserve">   1. หลักสูตรสำหรับสร้างและพัฒนากลไลเพื่อขับเคลื่อนงานเกษตรอินทรีย์ </t>
  </si>
  <si>
    <t xml:space="preserve">      ในเขตปฏิรูปที่ดิน  โดย : สพท. </t>
  </si>
  <si>
    <t xml:space="preserve">   2. หลักสูตรสำหรับส่งเสริมเกษตรอินทรีย์โดยใช้กระบวนการโรงเรียนเกษตรกร</t>
  </si>
  <si>
    <t>- จัดฝึกอบรมโดยใช้กระบวนการโรงเรียนเกษตรกร</t>
  </si>
  <si>
    <t>- กลุ่ม/พื้นที่เดิม (ขั้นที่ 2-3)</t>
  </si>
  <si>
    <t>- กลุ่ม/พื้นที่ใหม่ (ขั้นที่ 1)</t>
  </si>
  <si>
    <t xml:space="preserve">   3. หลักสูตรสำหรับการเพิ่มช่องทางบริหารจัดการตลาดสินค้าเกษตรอินทรีย์</t>
  </si>
  <si>
    <t xml:space="preserve">      โดยตรงถึงผู้บริโภค โดย : สพท. </t>
  </si>
  <si>
    <t xml:space="preserve"> - พื้นที่ใหม่ (ขั้นที่ 1)</t>
  </si>
  <si>
    <t xml:space="preserve"> - พื้นที่เดิม (ขั้นที่ 2-3)</t>
  </si>
  <si>
    <t>โครงการส่งเสริมระบบวนเกษตรในเขตปฏิรูปที่ดิน</t>
  </si>
  <si>
    <t>ส่งเสริมระบบวนเกษตรในเขตปฏิรูปที่ดิน</t>
  </si>
  <si>
    <t>โครงการส่งเสริมและพัฒนาเกษตรทฤษฎีใหม่ในเขตปฏิรูปที่ดิน</t>
  </si>
  <si>
    <t>ขั้นที่ 1 (อบรมรายละ 2 หลักสูตร)</t>
  </si>
  <si>
    <t xml:space="preserve"> -หลักสูตร ศึกษาดูงาน "สร้างแรงบันดาลใจในการเปลี่ยนเป็นเกษตรทฤษฏีใหม่</t>
  </si>
  <si>
    <t xml:space="preserve"> -หลักสูตร การเปลี่ยนแปลงวิธีทำเกษตรแบบเดิมสู่เกษตรทฤษฏีใหม่</t>
  </si>
  <si>
    <t>ขั้นที่ 2 (เป้าหมาย ร้อยละ 50 ของเกษตรกรผู้เข้าร่วม ปี 2564) (อบรมรายละ 3 หลักสูตร)</t>
  </si>
  <si>
    <t xml:space="preserve"> -หลักสูตร หลักสสูตรการส่งเสริมการรวมกลุ่ม</t>
  </si>
  <si>
    <t xml:space="preserve"> -หลักสูตร หลักสูตรการเพิ่มมูลค่าผลผลผลิตและการแปรรูปในรูปแบบกลุ่ม</t>
  </si>
  <si>
    <t xml:space="preserve"> -หลักสูตร หลักสูตรการบริหารจัดการตลาด</t>
  </si>
  <si>
    <t>ขั้นที่ 3 (เป้าหมาย ร้อยละ 50 ของเกษตรกรผู้เข้าร่วม ปี 2564) (อบรมรายละ 2 หลักสูตร)</t>
  </si>
  <si>
    <t xml:space="preserve"> -หลักสูตร หลักสูตรมาตรฐานการผลิต</t>
  </si>
  <si>
    <t xml:space="preserve"> -หลักสูตร หลักสูตรการพัฒนาบรรจุภัณฑ์</t>
  </si>
  <si>
    <t>ขั้นที่ 1</t>
  </si>
  <si>
    <t>ขั้นที่ 2</t>
  </si>
  <si>
    <t>โครงการพัฒนาธุรกิจชุมชนในเขตปฏิรูปที่ดิน</t>
  </si>
  <si>
    <t>2.1 จัดทำโครงการ (ดำเนินการแล้วให้ระบุ 1)</t>
  </si>
  <si>
    <t xml:space="preserve"> - หลักสูตรการแปรรูปและการพัฒนาสินค้า การตลาดและการบริหารจัดการธุรกิจ โดย ส.ป.ก.จังหวัด</t>
  </si>
  <si>
    <t xml:space="preserve"> - หลักสูตรการสร้างความเข้มแข็งและพัฒธุรกิจของสหกรณ์การเกษตรในเขตปฏิรูปที่ดิน โดย ส.ป.ก. จังหวัด</t>
  </si>
  <si>
    <t xml:space="preserve"> - หลักสูตร การพัฒนาช่องทางด้านการตลาดสินค้าเกษตรออนไลน์ โดย สพท.</t>
  </si>
  <si>
    <t>โครงการตรวจสอบที่ดินในเขตปฏิรูปที่ดิน</t>
  </si>
  <si>
    <t>ตรวจสอบการถือครอง (กรณีแผนงานปกติ)</t>
  </si>
  <si>
    <t>1. ผลการลงพื้นที่หาข้อมูลเบื้องต้นจากผู้ที่น่าเชื่อถือได้</t>
  </si>
  <si>
    <t>1.1'ใช้ประโยชน์ด้วยตนเอง</t>
  </si>
  <si>
    <t>1.2 ไม่ใช้ประโยชน์ในที่ดิน (รวมไม่ทราบข้อมูล)</t>
  </si>
  <si>
    <t>1.3' เสียชีวิต</t>
  </si>
  <si>
    <t>2. ผลการพิจารณาของคณะอนุกรรมการ</t>
  </si>
  <si>
    <t>2.1 ใช้ประโยชน์ด้วยตนเอง</t>
  </si>
  <si>
    <t>2.2 ไม่ใช้ประโยชน์ในที่ดิน (รวมไม่ทราบข้อมูล)</t>
  </si>
  <si>
    <t>2.3 เสียชีวิต</t>
  </si>
  <si>
    <t>3. สรุปผลการตรวจสอบการถือครอง</t>
  </si>
  <si>
    <t>3.1 'ใช้ประโยชน์ด้วยตนเอง</t>
  </si>
  <si>
    <t>3.2 ไม่ใช้ประโยชน์ในที่ดิน (รวมไม่ทราบข้อมูล)</t>
  </si>
  <si>
    <t>3.3 เสียชีวิต</t>
  </si>
  <si>
    <t xml:space="preserve"> - เสียชีวิต ทายาททำประโยชน์</t>
  </si>
  <si>
    <t xml:space="preserve"> - เสียชีวิต บุคคลอื่นทำประโยชน์</t>
  </si>
  <si>
    <t>3.4 ไม่มาให้ข้อเท็จจริง</t>
  </si>
  <si>
    <t>บอกเลิกสัญญาเช่า/เช่าซื้อ</t>
  </si>
  <si>
    <t>ตรวจสอบการถือครอง (กรณีผิดปกติ)</t>
  </si>
  <si>
    <t>สรุป</t>
  </si>
  <si>
    <t>1. เกษตรกรมีชีวิตอยู่</t>
  </si>
  <si>
    <t>1.1 ปฏิบัติตามระเบียบ (ผลจากการลงพื้นที่/ยุติเรื่อง)</t>
  </si>
  <si>
    <t>1.2 ไม่ปฏิบัติตามระเบียบ (หลังจากทำหนังสือแจ้งเตือน/แจ้งสิทธิ)</t>
  </si>
  <si>
    <t>1.3 คปจ.สั่งให้สิ้นสิทธิ</t>
  </si>
  <si>
    <t>2. เกษตรกรเสียชีวิต</t>
  </si>
  <si>
    <t>2.1 เสียชีวิต ทายาททำประโยชน์</t>
  </si>
  <si>
    <t>2.2  เสียชีวิต บุคคลอื่นทำประโยชน์</t>
  </si>
  <si>
    <t xml:space="preserve">  3. กรณีอื่นๆ ( เช่น พื้นที่นอกเขตฯ ฐานข้อมูลคลาดเคลื่อน)</t>
  </si>
  <si>
    <t>ตรวจสอบการใช้ที่ดินผิดวัตถุประสงค์ โดยแผนที่ภาพถ่ายทางอากาศ/ดาวเทียม</t>
  </si>
  <si>
    <t xml:space="preserve"> - สผส. ตรวจสอบ ติดตามการใช้ประโยชน์ที่ดินรายแปลงในเขตปฏิรูปที่ดิน  </t>
  </si>
  <si>
    <t>ด้วยภาพถ่ายทางอากาศและ/หรือภาพดาวเทียมรายละเอียดสูง</t>
  </si>
  <si>
    <t>- ใช้ที่ดินตามวัตถุประสงค์</t>
  </si>
  <si>
    <t>- ใช้ที่ผิดวัตถุประสงค์</t>
  </si>
  <si>
    <t>- ส่งข้อมูลกรณีใช้ที่ผิดวัตถุประสงค์ให้ ส.ป.ก.จังหวัด ตรวจสอบ</t>
  </si>
  <si>
    <t xml:space="preserve"> - ส.ป.ก.จังหวัด ตรวจสอบ ติดตามการใช้ประโยชน์ที่ดินรายแปลงในเขตปฏิรูปที่ดิน </t>
  </si>
  <si>
    <t xml:space="preserve">  แปลงที่ใช้ที่ดินผิดวัตถุประสงค์ จากการตรวจพบของ สผส.</t>
  </si>
  <si>
    <t>- อื่น ๆ</t>
  </si>
  <si>
    <t>โครงการพัฒนาผู้แทนเกษตรกร</t>
  </si>
  <si>
    <t xml:space="preserve"> - อบรม หลักสูตรสำหรับการพัฒนาผู้แทนเกษตรกรในระดับพื้นที่ โดย : ส.ป.ก.จังหวัด </t>
  </si>
  <si>
    <t xml:space="preserve"> - อบรม หลักสูตรสำหรับการพัฒนาภาวะผู้นำแก่ผู้นำเกษตรกร โดย สพท. </t>
  </si>
  <si>
    <t>โครงการสำรวจรังวัดการปรับปรุงแผนที่แปลงที่ดินตามมาตรฐาน RTK GNSS NETWORK ในเขตปฏิรูปที่ดิน</t>
  </si>
  <si>
    <t>ดำเนินการโดย ส.ป.ก. จังหวัด (ข้อมูลจาก สผส.)</t>
  </si>
  <si>
    <t>ดำเนินการโดย สผส.</t>
  </si>
  <si>
    <t>โครงการศูนย์บริการประชาชนในเขตปฏิรูปที่ดินเพื่อเกษตรกรรม*</t>
  </si>
  <si>
    <t>รวม แผนงานบริการประชาชน/เกษตรกรในเขตปฏิรูปที่ดิน 72 จังหวัด</t>
  </si>
  <si>
    <t>1. ศูนย์บริการประชาชนเคลื่อนที่</t>
  </si>
  <si>
    <t xml:space="preserve">    - จำนวนครั้งที่ออกให้บริการ</t>
  </si>
  <si>
    <t xml:space="preserve">    - จำนวนผู้มารับบริการ</t>
  </si>
  <si>
    <t>2.  จำนวนผู้มารับบริการศูนย์บริการประชาชน (Service Center)</t>
  </si>
  <si>
    <t>3. จำนวนผู้รับบริการจากระบบออนไลน์</t>
  </si>
  <si>
    <t>4.  จำนวนผู้รับบริการจากการออกรับบริการร่วมกับหน่วยงานภายนอกอื่น ๆ</t>
  </si>
  <si>
    <t>โครงการจัดที่ดินชุมชนแปลงที่อยู่อาศัยของเกษตรกรในเขตปฏิรูปที่ดิน (ข้อมูลจาก ALRO Land Online)</t>
  </si>
  <si>
    <t>- สำรวจรังวัด</t>
  </si>
  <si>
    <t>โครงการจัดหาที่ดินเอกชนเพื่อนำมาดำเนินการปฎิรูปที่ดินเพื่อเกษตรกรรม</t>
  </si>
  <si>
    <t>1. การจัดหาที่ดินเพื่อการจัดซื้อที่ดินเอกชน ปี 2565</t>
  </si>
  <si>
    <t xml:space="preserve"> - รับคำเสนอขาย</t>
  </si>
  <si>
    <t xml:space="preserve"> - ตรวจสอบความถูกต้องหนังสือแสดงสิทธิในที่ดินที่ สนง.ที่ดิน หรือ สนง.สาขา</t>
  </si>
  <si>
    <t xml:space="preserve"> - ตรวจสอบสภาพพื้นที่ แปลงที่ดิน การทำประโยชน์</t>
  </si>
  <si>
    <t xml:space="preserve"> - ต่อรองราคาที่ดิน</t>
  </si>
  <si>
    <t xml:space="preserve"> - คณะอนุกรรมการจัดซื้อที่ดินพิจารณาความเหมาะสมของที่ดิน</t>
  </si>
  <si>
    <t xml:space="preserve"> - นำเสนอ คปจ.</t>
  </si>
  <si>
    <t xml:space="preserve">           - อำนาจ คปจ. เห็นชอบและอนุมัติ กรณีราคาไม่เกิน 1.5 เท่า</t>
  </si>
  <si>
    <t xml:space="preserve">           - อำนาจ คปจ. เห็นชอบ กรณีราคาเกิน 1.5 เท่า</t>
  </si>
  <si>
    <t xml:space="preserve"> 2. จัดซื้อที่ดินงานต่อเนื่อง (ระหว่างปี พ.ศ. 2560 - 2564)</t>
  </si>
  <si>
    <t xml:space="preserve"> - ประกาศเขตปฏิรูปที่ดินแล้ว</t>
  </si>
  <si>
    <t xml:space="preserve">           - รังวัดสอบเขต</t>
  </si>
  <si>
    <t xml:space="preserve">           - จดทะเบียนสิทธิและนิติกรรม และชำระมูลค่าที่ดิน</t>
  </si>
  <si>
    <t>การดำเนินงานกองทุนการปฏิรูปที่ดินเพื่อเกษตรกรรม</t>
  </si>
  <si>
    <t>แผนการจัดเก็บหนี้ต้นเงินกู้ที่ครบกำหนดชำระ</t>
  </si>
  <si>
    <t>แผนการจัดเก็บหนี้ต้นเงินกู้ค้างชำระ</t>
  </si>
  <si>
    <t>แผนการจัดเก็บรายได้ค่าเช่าและเงินต้นค่าเช่าซื้อ</t>
  </si>
  <si>
    <t>แผนการให้สินเชื่อเงินกองทุนฯ</t>
  </si>
  <si>
    <t>หมายเหตุ * เป็นโครงการที่มีงบลงทุนอยู่ในกิจกรรมตาม พรบ.</t>
  </si>
  <si>
    <t>สำนักงานการปฏิรูปที่ดินจังหวัด กระบี่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</si>
  <si>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</si>
  <si>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ชุมพร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</si>
  <si>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</si>
  <si>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ตรัง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</si>
  <si>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</si>
  <si>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นครศรีธรรมราช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</si>
  <si>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</si>
  <si>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นราธิวาส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</si>
  <si>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</si>
  <si>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76,000 งบลงทุน 904,000)</t>
  </si>
  <si>
    <t>สำนักงานการปฏิรูปที่ดินจังหวัด ปัตตานี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</si>
  <si>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</si>
  <si>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พังงา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</si>
  <si>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</si>
  <si>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พัทลุง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</si>
  <si>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</si>
  <si>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 xml:space="preserve"> - ส.ป.ก.จังหวัด  (งบดำเนินงาน 110,900 งบลงทุน 103,000)</t>
  </si>
  <si>
    <t>สำนักงานการปฏิรูปที่ดินจังหวัด ภูเก็ต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</si>
  <si>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</si>
  <si>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ยะลา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</si>
  <si>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</si>
  <si>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ระนอง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</si>
  <si>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</si>
  <si>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สงขลา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</si>
  <si>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</si>
  <si>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สตูล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</si>
  <si>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</si>
  <si>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สำนักงานการปฏิรูปที่ดินจังหวัด สุราษฎร์ธานี</t>
  </si>
  <si>
    <r>
      <rPr>
        <b/>
        <u/>
        <sz val="15"/>
        <color theme="1"/>
        <rFont val="Calibri"/>
      </rPr>
      <t>ขั้นตอนการดำเนินงาน (ระบุ 1 ในช่อง 1 2  หรือ 3 เพียงข้อเดียว เ</t>
    </r>
    <r>
      <rPr>
        <b/>
        <u/>
        <sz val="15"/>
        <color rgb="FFCC4125"/>
        <rFont val="Calibri"/>
      </rPr>
      <t>ท่านั้น</t>
    </r>
    <r>
      <rPr>
        <b/>
        <u/>
        <sz val="15"/>
        <color theme="1"/>
        <rFont val="Calibri"/>
      </rPr>
      <t>)</t>
    </r>
  </si>
  <si>
    <t>ข้อมูล ณ วันที่ 17 เมษายน 2565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</si>
</sst>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87" formatCode="_-* #,##0_-;\-* #,##0_-;_-* &quot;-&quot;??_-;_-@"/>
    <numFmt numFmtId="188" formatCode="_-* #,##0.00_-;\-* #,##0.00_-;_-* &quot;-&quot;??_-;_-@"/>
    <numFmt numFmtId="189" formatCode="_-* #,##0_-;\-* #,##0_-;_-* &quot;-&quot;_-;_-@"/>
    <numFmt numFmtId="190" formatCode="_(* #,##0_);_(* \(#,##0\);_(* &quot;-&quot;??_);_(@_)"/>
    <numFmt numFmtId="191" formatCode="_-* #,##0.00_-;\-* #,##0.00_-;_-* &quot;-&quot;????_-;_-@"/>
  </numFmts>
  <fonts count="22" x14ac:knownFonts="1">
    <font>
      <sz val="11"/>
      <color theme="1"/>
      <name val="Calibri"/>
      <scheme val="minor"/>
    </font>
    <font>
      <b/>
      <sz val="15"/>
      <color theme="1"/>
      <name val="Calibri"/>
      <scheme val="minor"/>
    </font>
    <font>
      <sz val="15"/>
      <color theme="1"/>
      <name val="Calibri"/>
      <scheme val="minor"/>
    </font>
    <font>
      <b/>
      <sz val="15"/>
      <color theme="0"/>
      <name val="Calibri"/>
      <scheme val="minor"/>
    </font>
    <font>
      <sz val="11"/>
      <name val="Calibri"/>
    </font>
    <font>
      <b/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00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rgb="FFFF0000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b/>
      <u/>
      <sz val="15"/>
      <color theme="1"/>
      <name val="Calibri"/>
      <scheme val="minor"/>
    </font>
    <font>
      <sz val="15"/>
      <color theme="0"/>
      <name val="Calibri"/>
      <scheme val="minor"/>
    </font>
    <font>
      <b/>
      <u/>
      <sz val="15"/>
      <color theme="1"/>
      <name val="Calibri"/>
    </font>
    <font>
      <b/>
      <u/>
      <sz val="15"/>
      <color rgb="FFCC4125"/>
      <name val="Calibri"/>
    </font>
  </fonts>
  <fills count="32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548135"/>
        <bgColor rgb="FF548135"/>
      </patternFill>
    </fill>
    <fill>
      <patternFill patternType="solid">
        <fgColor rgb="FFFCFAB0"/>
        <bgColor rgb="FFFCFAB0"/>
      </patternFill>
    </fill>
    <fill>
      <patternFill patternType="solid">
        <fgColor rgb="FFDADADA"/>
        <bgColor rgb="FFDADADA"/>
      </patternFill>
    </fill>
    <fill>
      <patternFill patternType="solid">
        <fgColor rgb="FFFAE6F6"/>
        <bgColor rgb="FFFAE6F6"/>
      </patternFill>
    </fill>
    <fill>
      <patternFill patternType="solid">
        <fgColor rgb="FFA8D08D"/>
        <bgColor rgb="FFA8D08D"/>
      </patternFill>
    </fill>
    <fill>
      <patternFill patternType="solid">
        <fgColor rgb="FF9BC2E6"/>
        <bgColor rgb="FF9BC2E6"/>
      </patternFill>
    </fill>
    <fill>
      <patternFill patternType="solid">
        <fgColor rgb="FFD9E2F3"/>
        <bgColor rgb="FFD9E2F3"/>
      </patternFill>
    </fill>
    <fill>
      <patternFill patternType="solid">
        <fgColor rgb="FFFFFF00"/>
        <bgColor rgb="FFFFFF00"/>
      </patternFill>
    </fill>
    <fill>
      <patternFill patternType="solid">
        <fgColor rgb="FFC776D4"/>
        <bgColor rgb="FFC776D4"/>
      </patternFill>
    </fill>
    <fill>
      <patternFill patternType="solid">
        <fgColor rgb="FFDB8DBF"/>
        <bgColor rgb="FFDB8DBF"/>
      </patternFill>
    </fill>
    <fill>
      <patternFill patternType="solid">
        <fgColor rgb="FFE9B9D8"/>
        <bgColor rgb="FFE9B9D8"/>
      </patternFill>
    </fill>
    <fill>
      <patternFill patternType="solid">
        <fgColor rgb="FFFCD8F3"/>
        <bgColor rgb="FFFCD8F3"/>
      </patternFill>
    </fill>
    <fill>
      <patternFill patternType="solid">
        <fgColor rgb="FFFFFFFF"/>
        <bgColor rgb="FFFFFFFF"/>
      </patternFill>
    </fill>
    <fill>
      <patternFill patternType="solid">
        <fgColor rgb="FFF4B084"/>
        <bgColor rgb="FFF4B084"/>
      </patternFill>
    </fill>
    <fill>
      <patternFill patternType="solid">
        <fgColor rgb="FFF9CB9C"/>
        <bgColor rgb="FFF9CB9C"/>
      </patternFill>
    </fill>
    <fill>
      <patternFill patternType="solid">
        <fgColor rgb="FFF8CBAD"/>
        <bgColor rgb="FFF8CBAD"/>
      </patternFill>
    </fill>
    <fill>
      <patternFill patternType="solid">
        <fgColor rgb="FFFCE4D6"/>
        <bgColor rgb="FFFCE4D6"/>
      </patternFill>
    </fill>
    <fill>
      <patternFill patternType="solid">
        <fgColor rgb="FF8EAADB"/>
        <bgColor rgb="FF8EAADB"/>
      </patternFill>
    </fill>
    <fill>
      <patternFill patternType="solid">
        <fgColor rgb="FFB4C6E7"/>
        <bgColor rgb="FFB4C6E7"/>
      </patternFill>
    </fill>
    <fill>
      <patternFill patternType="solid">
        <fgColor rgb="FFE2EFD9"/>
        <bgColor rgb="FFE2EFD9"/>
      </patternFill>
    </fill>
    <fill>
      <patternFill patternType="solid">
        <fgColor rgb="FFFF9B9B"/>
        <bgColor rgb="FFFF9B9B"/>
      </patternFill>
    </fill>
    <fill>
      <patternFill patternType="solid">
        <fgColor rgb="FFC5E0B3"/>
        <bgColor rgb="FFC5E0B3"/>
      </patternFill>
    </fill>
    <fill>
      <patternFill patternType="solid">
        <fgColor rgb="FFFEF2CB"/>
        <bgColor rgb="FFFEF2CB"/>
      </patternFill>
    </fill>
    <fill>
      <patternFill patternType="solid">
        <fgColor rgb="FFE072D8"/>
        <bgColor rgb="FFE072D8"/>
      </patternFill>
    </fill>
    <fill>
      <patternFill patternType="solid">
        <fgColor rgb="FFF0A6F0"/>
        <bgColor rgb="FFF0A6F0"/>
      </patternFill>
    </fill>
    <fill>
      <patternFill patternType="solid">
        <fgColor rgb="FFF5C7EC"/>
        <bgColor rgb="FFF5C7EC"/>
      </patternFill>
    </fill>
    <fill>
      <patternFill patternType="solid">
        <fgColor rgb="FFFF9933"/>
        <bgColor rgb="FFFF9933"/>
      </patternFill>
    </fill>
    <fill>
      <patternFill patternType="solid">
        <fgColor rgb="FFF4B083"/>
        <bgColor rgb="FFF4B083"/>
      </patternFill>
    </fill>
    <fill>
      <patternFill patternType="solid">
        <fgColor rgb="FFF7CAAC"/>
        <bgColor rgb="FFF7CAAC"/>
      </patternFill>
    </fill>
  </fills>
  <borders count="50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 style="hair">
        <color rgb="FF000000"/>
      </bottom>
      <diagonal/>
    </border>
    <border>
      <left/>
      <right/>
      <top style="medium">
        <color rgb="FF000000"/>
      </top>
      <bottom style="hair">
        <color rgb="FF000000"/>
      </bottom>
      <diagonal/>
    </border>
    <border>
      <left/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/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553">
    <xf numFmtId="0" fontId="0" fillId="0" borderId="0" xfId="0" applyFont="1" applyAlignment="1"/>
    <xf numFmtId="0" fontId="1" fillId="2" borderId="0" xfId="0" applyFont="1" applyFill="1" applyAlignment="1">
      <alignment horizontal="center" vertical="center"/>
    </xf>
    <xf numFmtId="187" fontId="2" fillId="2" borderId="0" xfId="0" applyNumberFormat="1" applyFont="1" applyFill="1" applyAlignment="1">
      <alignment horizontal="center" vertical="center" wrapText="1"/>
    </xf>
    <xf numFmtId="188" fontId="2" fillId="2" borderId="0" xfId="0" applyNumberFormat="1" applyFont="1" applyFill="1" applyAlignment="1">
      <alignment vertical="center" wrapText="1"/>
    </xf>
    <xf numFmtId="187" fontId="2" fillId="2" borderId="0" xfId="0" applyNumberFormat="1" applyFont="1" applyFill="1" applyAlignment="1">
      <alignment vertical="center" wrapText="1"/>
    </xf>
    <xf numFmtId="188" fontId="1" fillId="4" borderId="12" xfId="0" applyNumberFormat="1" applyFont="1" applyFill="1" applyBorder="1" applyAlignment="1">
      <alignment horizontal="center" vertical="center"/>
    </xf>
    <xf numFmtId="187" fontId="1" fillId="4" borderId="12" xfId="0" applyNumberFormat="1" applyFont="1" applyFill="1" applyBorder="1" applyAlignment="1">
      <alignment horizontal="center" vertical="center" wrapText="1"/>
    </xf>
    <xf numFmtId="188" fontId="1" fillId="5" borderId="12" xfId="0" applyNumberFormat="1" applyFont="1" applyFill="1" applyBorder="1" applyAlignment="1">
      <alignment horizontal="center" vertical="center" wrapText="1"/>
    </xf>
    <xf numFmtId="188" fontId="1" fillId="7" borderId="12" xfId="0" applyNumberFormat="1" applyFont="1" applyFill="1" applyBorder="1" applyAlignment="1">
      <alignment horizontal="center" vertical="center" wrapText="1"/>
    </xf>
    <xf numFmtId="188" fontId="1" fillId="6" borderId="12" xfId="0" applyNumberFormat="1" applyFont="1" applyFill="1" applyBorder="1" applyAlignment="1">
      <alignment horizontal="center" vertical="center"/>
    </xf>
    <xf numFmtId="188" fontId="1" fillId="5" borderId="12" xfId="0" applyNumberFormat="1" applyFont="1" applyFill="1" applyBorder="1" applyAlignment="1">
      <alignment horizontal="center" vertical="center"/>
    </xf>
    <xf numFmtId="188" fontId="1" fillId="7" borderId="12" xfId="0" applyNumberFormat="1" applyFont="1" applyFill="1" applyBorder="1" applyAlignment="1">
      <alignment horizontal="center" vertical="center"/>
    </xf>
    <xf numFmtId="0" fontId="5" fillId="8" borderId="12" xfId="0" applyFont="1" applyFill="1" applyBorder="1" applyAlignment="1"/>
    <xf numFmtId="189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/>
    <xf numFmtId="188" fontId="5" fillId="8" borderId="12" xfId="0" applyNumberFormat="1" applyFont="1" applyFill="1" applyBorder="1" applyAlignment="1">
      <alignment horizontal="center"/>
    </xf>
    <xf numFmtId="188" fontId="5" fillId="8" borderId="12" xfId="0" applyNumberFormat="1" applyFont="1" applyFill="1" applyBorder="1" applyAlignment="1">
      <alignment horizontal="right"/>
    </xf>
    <xf numFmtId="0" fontId="1" fillId="9" borderId="13" xfId="0" applyFont="1" applyFill="1" applyBorder="1" applyAlignment="1"/>
    <xf numFmtId="0" fontId="1" fillId="9" borderId="14" xfId="0" applyFont="1" applyFill="1" applyBorder="1" applyAlignment="1"/>
    <xf numFmtId="0" fontId="1" fillId="9" borderId="14" xfId="0" applyFont="1" applyFill="1" applyBorder="1" applyAlignment="1">
      <alignment horizontal="left"/>
    </xf>
    <xf numFmtId="0" fontId="1" fillId="9" borderId="15" xfId="0" applyFont="1" applyFill="1" applyBorder="1" applyAlignment="1">
      <alignment horizontal="center"/>
    </xf>
    <xf numFmtId="189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>
      <alignment horizontal="right"/>
    </xf>
    <xf numFmtId="188" fontId="1" fillId="9" borderId="16" xfId="0" applyNumberFormat="1" applyFont="1" applyFill="1" applyBorder="1" applyAlignment="1"/>
    <xf numFmtId="0" fontId="1" fillId="9" borderId="17" xfId="0" applyFont="1" applyFill="1" applyBorder="1" applyAlignment="1"/>
    <xf numFmtId="0" fontId="1" fillId="9" borderId="18" xfId="0" applyFont="1" applyFill="1" applyBorder="1" applyAlignment="1"/>
    <xf numFmtId="0" fontId="1" fillId="9" borderId="18" xfId="0" applyFont="1" applyFill="1" applyBorder="1" applyAlignment="1">
      <alignment horizontal="left"/>
    </xf>
    <xf numFmtId="0" fontId="1" fillId="9" borderId="19" xfId="0" applyFont="1" applyFill="1" applyBorder="1" applyAlignment="1">
      <alignment horizontal="center"/>
    </xf>
    <xf numFmtId="189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>
      <alignment horizontal="right"/>
    </xf>
    <xf numFmtId="188" fontId="1" fillId="9" borderId="20" xfId="0" applyNumberFormat="1" applyFont="1" applyFill="1" applyBorder="1" applyAlignment="1"/>
    <xf numFmtId="0" fontId="1" fillId="2" borderId="17" xfId="0" applyFont="1" applyFill="1" applyBorder="1" applyAlignment="1"/>
    <xf numFmtId="0" fontId="1" fillId="2" borderId="18" xfId="0" applyFont="1" applyFill="1" applyBorder="1" applyAlignment="1"/>
    <xf numFmtId="0" fontId="1" fillId="2" borderId="18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left"/>
    </xf>
    <xf numFmtId="0" fontId="2" fillId="2" borderId="20" xfId="0" applyFont="1" applyFill="1" applyBorder="1" applyAlignment="1">
      <alignment horizontal="center"/>
    </xf>
    <xf numFmtId="189" fontId="2" fillId="2" borderId="20" xfId="0" applyNumberFormat="1" applyFont="1" applyFill="1" applyBorder="1" applyAlignment="1">
      <alignment horizontal="right"/>
    </xf>
    <xf numFmtId="188" fontId="2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left"/>
    </xf>
    <xf numFmtId="0" fontId="2" fillId="2" borderId="18" xfId="0" applyFont="1" applyFill="1" applyBorder="1" applyAlignment="1"/>
    <xf numFmtId="0" fontId="2" fillId="2" borderId="18" xfId="0" applyFont="1" applyFill="1" applyBorder="1" applyAlignment="1">
      <alignment horizontal="left"/>
    </xf>
    <xf numFmtId="188" fontId="2" fillId="2" borderId="20" xfId="0" applyNumberFormat="1" applyFont="1" applyFill="1" applyBorder="1" applyAlignment="1">
      <alignment horizontal="left"/>
    </xf>
    <xf numFmtId="188" fontId="2" fillId="2" borderId="20" xfId="0" applyNumberFormat="1" applyFont="1" applyFill="1" applyBorder="1" applyAlignment="1"/>
    <xf numFmtId="0" fontId="1" fillId="2" borderId="21" xfId="0" applyFont="1" applyFill="1" applyBorder="1" applyAlignment="1"/>
    <xf numFmtId="0" fontId="1" fillId="2" borderId="22" xfId="0" applyFont="1" applyFill="1" applyBorder="1" applyAlignment="1"/>
    <xf numFmtId="0" fontId="2" fillId="2" borderId="22" xfId="0" applyFont="1" applyFill="1" applyBorder="1" applyAlignment="1"/>
    <xf numFmtId="0" fontId="2" fillId="2" borderId="23" xfId="0" applyFont="1" applyFill="1" applyBorder="1" applyAlignment="1">
      <alignment horizontal="left"/>
    </xf>
    <xf numFmtId="0" fontId="2" fillId="2" borderId="23" xfId="0" applyFont="1" applyFill="1" applyBorder="1" applyAlignment="1">
      <alignment horizontal="center"/>
    </xf>
    <xf numFmtId="189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>
      <alignment horizontal="right"/>
    </xf>
    <xf numFmtId="188" fontId="2" fillId="2" borderId="23" xfId="0" applyNumberFormat="1" applyFont="1" applyFill="1" applyBorder="1" applyAlignment="1"/>
    <xf numFmtId="188" fontId="2" fillId="2" borderId="20" xfId="0" applyNumberFormat="1" applyFont="1" applyFill="1" applyBorder="1" applyAlignment="1"/>
    <xf numFmtId="188" fontId="2" fillId="2" borderId="23" xfId="0" applyNumberFormat="1" applyFont="1" applyFill="1" applyBorder="1" applyAlignment="1"/>
    <xf numFmtId="0" fontId="1" fillId="10" borderId="12" xfId="0" applyFont="1" applyFill="1" applyBorder="1" applyAlignment="1">
      <alignment vertical="center"/>
    </xf>
    <xf numFmtId="189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vertical="center"/>
    </xf>
    <xf numFmtId="188" fontId="1" fillId="10" borderId="12" xfId="0" applyNumberFormat="1" applyFont="1" applyFill="1" applyBorder="1" applyAlignment="1">
      <alignment horizontal="right" vertical="center" wrapText="1"/>
    </xf>
    <xf numFmtId="0" fontId="8" fillId="11" borderId="12" xfId="0" applyFont="1" applyFill="1" applyBorder="1" applyAlignment="1">
      <alignment horizontal="left"/>
    </xf>
    <xf numFmtId="189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>
      <alignment horizontal="left"/>
    </xf>
    <xf numFmtId="188" fontId="8" fillId="11" borderId="12" xfId="0" applyNumberFormat="1" applyFont="1" applyFill="1" applyBorder="1" applyAlignment="1"/>
    <xf numFmtId="0" fontId="5" fillId="12" borderId="13" xfId="0" applyFont="1" applyFill="1" applyBorder="1" applyAlignment="1"/>
    <xf numFmtId="0" fontId="5" fillId="12" borderId="15" xfId="0" applyFont="1" applyFill="1" applyBorder="1" applyAlignment="1">
      <alignment horizontal="center"/>
    </xf>
    <xf numFmtId="189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>
      <alignment horizontal="right"/>
    </xf>
    <xf numFmtId="188" fontId="5" fillId="12" borderId="16" xfId="0" applyNumberFormat="1" applyFont="1" applyFill="1" applyBorder="1" applyAlignment="1"/>
    <xf numFmtId="0" fontId="5" fillId="13" borderId="17" xfId="0" applyFont="1" applyFill="1" applyBorder="1" applyAlignment="1"/>
    <xf numFmtId="0" fontId="5" fillId="13" borderId="18" xfId="0" applyFont="1" applyFill="1" applyBorder="1" applyAlignment="1">
      <alignment horizontal="left"/>
    </xf>
    <xf numFmtId="0" fontId="5" fillId="13" borderId="18" xfId="0" applyFont="1" applyFill="1" applyBorder="1" applyAlignment="1"/>
    <xf numFmtId="0" fontId="5" fillId="13" borderId="19" xfId="0" applyFont="1" applyFill="1" applyBorder="1" applyAlignment="1">
      <alignment horizontal="center"/>
    </xf>
    <xf numFmtId="189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>
      <alignment horizontal="right"/>
    </xf>
    <xf numFmtId="188" fontId="5" fillId="13" borderId="20" xfId="0" applyNumberFormat="1" applyFont="1" applyFill="1" applyBorder="1" applyAlignment="1"/>
    <xf numFmtId="0" fontId="1" fillId="14" borderId="17" xfId="0" applyFont="1" applyFill="1" applyBorder="1" applyAlignment="1"/>
    <xf numFmtId="0" fontId="1" fillId="14" borderId="18" xfId="0" applyFont="1" applyFill="1" applyBorder="1" applyAlignment="1"/>
    <xf numFmtId="0" fontId="1" fillId="14" borderId="18" xfId="0" applyFont="1" applyFill="1" applyBorder="1" applyAlignment="1">
      <alignment horizontal="left"/>
    </xf>
    <xf numFmtId="0" fontId="1" fillId="14" borderId="19" xfId="0" applyFont="1" applyFill="1" applyBorder="1" applyAlignment="1">
      <alignment horizontal="center"/>
    </xf>
    <xf numFmtId="189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>
      <alignment horizontal="right"/>
    </xf>
    <xf numFmtId="188" fontId="1" fillId="14" borderId="20" xfId="0" applyNumberFormat="1" applyFont="1" applyFill="1" applyBorder="1" applyAlignment="1"/>
    <xf numFmtId="0" fontId="1" fillId="15" borderId="17" xfId="0" applyFont="1" applyFill="1" applyBorder="1" applyAlignment="1"/>
    <xf numFmtId="0" fontId="1" fillId="15" borderId="18" xfId="0" applyFont="1" applyFill="1" applyBorder="1" applyAlignment="1"/>
    <xf numFmtId="0" fontId="1" fillId="15" borderId="18" xfId="0" applyFont="1" applyFill="1" applyBorder="1" applyAlignment="1">
      <alignment horizontal="left"/>
    </xf>
    <xf numFmtId="0" fontId="2" fillId="15" borderId="20" xfId="0" applyFont="1" applyFill="1" applyBorder="1" applyAlignment="1">
      <alignment horizontal="left"/>
    </xf>
    <xf numFmtId="0" fontId="2" fillId="0" borderId="20" xfId="0" applyFont="1" applyBorder="1" applyAlignment="1">
      <alignment horizontal="center"/>
    </xf>
    <xf numFmtId="189" fontId="2" fillId="0" borderId="20" xfId="0" applyNumberFormat="1" applyFont="1" applyBorder="1" applyAlignment="1">
      <alignment horizontal="right"/>
    </xf>
    <xf numFmtId="188" fontId="2" fillId="0" borderId="20" xfId="0" applyNumberFormat="1" applyFont="1" applyBorder="1" applyAlignment="1">
      <alignment horizontal="right"/>
    </xf>
    <xf numFmtId="188" fontId="1" fillId="15" borderId="20" xfId="0" applyNumberFormat="1" applyFont="1" applyFill="1" applyBorder="1" applyAlignment="1"/>
    <xf numFmtId="188" fontId="1" fillId="15" borderId="20" xfId="0" applyNumberFormat="1" applyFont="1" applyFill="1" applyBorder="1" applyAlignment="1">
      <alignment horizontal="left"/>
    </xf>
    <xf numFmtId="0" fontId="2" fillId="15" borderId="18" xfId="0" applyFont="1" applyFill="1" applyBorder="1" applyAlignment="1"/>
    <xf numFmtId="0" fontId="2" fillId="15" borderId="18" xfId="0" applyFont="1" applyFill="1" applyBorder="1" applyAlignment="1">
      <alignment horizontal="left"/>
    </xf>
    <xf numFmtId="188" fontId="11" fillId="10" borderId="23" xfId="0" applyNumberFormat="1" applyFont="1" applyFill="1" applyBorder="1" applyAlignment="1"/>
    <xf numFmtId="188" fontId="2" fillId="15" borderId="20" xfId="0" applyNumberFormat="1" applyFont="1" applyFill="1" applyBorder="1" applyAlignment="1">
      <alignment horizontal="left"/>
    </xf>
    <xf numFmtId="188" fontId="2" fillId="15" borderId="20" xfId="0" applyNumberFormat="1" applyFont="1" applyFill="1" applyBorder="1" applyAlignment="1"/>
    <xf numFmtId="0" fontId="1" fillId="15" borderId="21" xfId="0" applyFont="1" applyFill="1" applyBorder="1" applyAlignment="1"/>
    <xf numFmtId="0" fontId="1" fillId="15" borderId="22" xfId="0" applyFont="1" applyFill="1" applyBorder="1" applyAlignment="1"/>
    <xf numFmtId="0" fontId="2" fillId="15" borderId="22" xfId="0" applyFont="1" applyFill="1" applyBorder="1" applyAlignment="1"/>
    <xf numFmtId="0" fontId="2" fillId="15" borderId="23" xfId="0" applyFont="1" applyFill="1" applyBorder="1" applyAlignment="1">
      <alignment horizontal="left"/>
    </xf>
    <xf numFmtId="0" fontId="2" fillId="0" borderId="23" xfId="0" applyFont="1" applyBorder="1" applyAlignment="1">
      <alignment horizontal="center"/>
    </xf>
    <xf numFmtId="189" fontId="2" fillId="0" borderId="23" xfId="0" applyNumberFormat="1" applyFont="1" applyBorder="1" applyAlignment="1">
      <alignment horizontal="right"/>
    </xf>
    <xf numFmtId="188" fontId="2" fillId="0" borderId="23" xfId="0" applyNumberFormat="1" applyFont="1" applyBorder="1" applyAlignment="1">
      <alignment horizontal="right"/>
    </xf>
    <xf numFmtId="188" fontId="2" fillId="15" borderId="23" xfId="0" applyNumberFormat="1" applyFont="1" applyFill="1" applyBorder="1" applyAlignment="1"/>
    <xf numFmtId="0" fontId="1" fillId="16" borderId="12" xfId="0" applyFont="1" applyFill="1" applyBorder="1" applyAlignment="1"/>
    <xf numFmtId="0" fontId="1" fillId="16" borderId="12" xfId="0" applyFont="1" applyFill="1" applyBorder="1" applyAlignment="1">
      <alignment horizontal="left"/>
    </xf>
    <xf numFmtId="0" fontId="1" fillId="16" borderId="12" xfId="0" applyFont="1" applyFill="1" applyBorder="1" applyAlignment="1">
      <alignment horizontal="center"/>
    </xf>
    <xf numFmtId="189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>
      <alignment horizontal="right"/>
    </xf>
    <xf numFmtId="188" fontId="1" fillId="16" borderId="12" xfId="0" applyNumberFormat="1" applyFont="1" applyFill="1" applyBorder="1" applyAlignment="1"/>
    <xf numFmtId="0" fontId="1" fillId="17" borderId="13" xfId="0" applyFont="1" applyFill="1" applyBorder="1" applyAlignment="1"/>
    <xf numFmtId="0" fontId="1" fillId="17" borderId="14" xfId="0" applyFont="1" applyFill="1" applyBorder="1" applyAlignment="1">
      <alignment horizontal="left"/>
    </xf>
    <xf numFmtId="0" fontId="1" fillId="17" borderId="15" xfId="0" applyFont="1" applyFill="1" applyBorder="1" applyAlignment="1">
      <alignment horizontal="center"/>
    </xf>
    <xf numFmtId="189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>
      <alignment horizontal="right"/>
    </xf>
    <xf numFmtId="188" fontId="1" fillId="17" borderId="16" xfId="0" applyNumberFormat="1" applyFont="1" applyFill="1" applyBorder="1" applyAlignment="1"/>
    <xf numFmtId="0" fontId="1" fillId="18" borderId="17" xfId="0" applyFont="1" applyFill="1" applyBorder="1" applyAlignment="1"/>
    <xf numFmtId="0" fontId="1" fillId="18" borderId="19" xfId="0" applyFont="1" applyFill="1" applyBorder="1" applyAlignment="1">
      <alignment horizontal="center"/>
    </xf>
    <xf numFmtId="189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>
      <alignment horizontal="right"/>
    </xf>
    <xf numFmtId="188" fontId="1" fillId="18" borderId="20" xfId="0" applyNumberFormat="1" applyFont="1" applyFill="1" applyBorder="1" applyAlignment="1"/>
    <xf numFmtId="0" fontId="1" fillId="19" borderId="17" xfId="0" applyFont="1" applyFill="1" applyBorder="1" applyAlignment="1"/>
    <xf numFmtId="0" fontId="1" fillId="19" borderId="18" xfId="0" applyFont="1" applyFill="1" applyBorder="1" applyAlignment="1"/>
    <xf numFmtId="0" fontId="1" fillId="19" borderId="18" xfId="0" applyFont="1" applyFill="1" applyBorder="1" applyAlignment="1">
      <alignment horizontal="left"/>
    </xf>
    <xf numFmtId="0" fontId="1" fillId="19" borderId="19" xfId="0" applyFont="1" applyFill="1" applyBorder="1" applyAlignment="1">
      <alignment horizontal="center"/>
    </xf>
    <xf numFmtId="189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>
      <alignment horizontal="right"/>
    </xf>
    <xf numFmtId="188" fontId="1" fillId="19" borderId="20" xfId="0" applyNumberFormat="1" applyFont="1" applyFill="1" applyBorder="1" applyAlignment="1"/>
    <xf numFmtId="187" fontId="1" fillId="20" borderId="24" xfId="0" applyNumberFormat="1" applyFont="1" applyFill="1" applyBorder="1" applyAlignment="1">
      <alignment vertical="center"/>
    </xf>
    <xf numFmtId="187" fontId="1" fillId="20" borderId="25" xfId="0" applyNumberFormat="1" applyFont="1" applyFill="1" applyBorder="1" applyAlignment="1">
      <alignment vertical="center"/>
    </xf>
    <xf numFmtId="0" fontId="2" fillId="20" borderId="26" xfId="0" applyFont="1" applyFill="1" applyBorder="1" applyAlignment="1">
      <alignment vertical="center"/>
    </xf>
    <xf numFmtId="0" fontId="2" fillId="20" borderId="27" xfId="0" applyFont="1" applyFill="1" applyBorder="1" applyAlignment="1">
      <alignment horizontal="left" vertical="center"/>
    </xf>
    <xf numFmtId="189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horizontal="left" vertical="center"/>
    </xf>
    <xf numFmtId="188" fontId="2" fillId="20" borderId="27" xfId="0" applyNumberFormat="1" applyFont="1" applyFill="1" applyBorder="1" applyAlignment="1">
      <alignment vertical="center"/>
    </xf>
    <xf numFmtId="187" fontId="1" fillId="21" borderId="24" xfId="0" applyNumberFormat="1" applyFont="1" applyFill="1" applyBorder="1" applyAlignment="1">
      <alignment vertical="center"/>
    </xf>
    <xf numFmtId="0" fontId="1" fillId="21" borderId="25" xfId="0" applyFont="1" applyFill="1" applyBorder="1" applyAlignment="1">
      <alignment vertical="center"/>
    </xf>
    <xf numFmtId="187" fontId="1" fillId="21" borderId="25" xfId="0" applyNumberFormat="1" applyFont="1" applyFill="1" applyBorder="1" applyAlignment="1">
      <alignment vertical="center"/>
    </xf>
    <xf numFmtId="0" fontId="1" fillId="21" borderId="26" xfId="0" applyFont="1" applyFill="1" applyBorder="1" applyAlignment="1">
      <alignment vertical="center"/>
    </xf>
    <xf numFmtId="0" fontId="1" fillId="21" borderId="28" xfId="0" applyFont="1" applyFill="1" applyBorder="1" applyAlignment="1">
      <alignment horizontal="left" vertical="center"/>
    </xf>
    <xf numFmtId="189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left" vertical="center"/>
    </xf>
    <xf numFmtId="188" fontId="1" fillId="21" borderId="28" xfId="0" applyNumberFormat="1" applyFont="1" applyFill="1" applyBorder="1" applyAlignment="1">
      <alignment horizontal="center" vertical="center"/>
    </xf>
    <xf numFmtId="188" fontId="2" fillId="21" borderId="28" xfId="0" applyNumberFormat="1" applyFont="1" applyFill="1" applyBorder="1" applyAlignment="1">
      <alignment vertical="center"/>
    </xf>
    <xf numFmtId="190" fontId="1" fillId="9" borderId="29" xfId="0" applyNumberFormat="1" applyFont="1" applyFill="1" applyBorder="1" applyAlignment="1">
      <alignment vertical="center"/>
    </xf>
    <xf numFmtId="0" fontId="1" fillId="9" borderId="30" xfId="0" applyFont="1" applyFill="1" applyBorder="1" applyAlignment="1">
      <alignment vertical="center"/>
    </xf>
    <xf numFmtId="187" fontId="1" fillId="9" borderId="30" xfId="0" applyNumberFormat="1" applyFont="1" applyFill="1" applyBorder="1" applyAlignment="1">
      <alignment vertical="center"/>
    </xf>
    <xf numFmtId="0" fontId="1" fillId="9" borderId="19" xfId="0" applyFont="1" applyFill="1" applyBorder="1" applyAlignment="1">
      <alignment horizontal="center" vertical="center" wrapText="1"/>
    </xf>
    <xf numFmtId="189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horizontal="right" vertical="center" wrapText="1"/>
    </xf>
    <xf numFmtId="188" fontId="1" fillId="9" borderId="19" xfId="0" applyNumberFormat="1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/>
    </xf>
    <xf numFmtId="190" fontId="1" fillId="2" borderId="13" xfId="0" applyNumberFormat="1" applyFont="1" applyFill="1" applyBorder="1" applyAlignment="1"/>
    <xf numFmtId="0" fontId="1" fillId="2" borderId="14" xfId="0" applyFont="1" applyFill="1" applyBorder="1" applyAlignment="1"/>
    <xf numFmtId="0" fontId="1" fillId="2" borderId="14" xfId="0" applyFont="1" applyFill="1" applyBorder="1" applyAlignment="1">
      <alignment horizontal="left"/>
    </xf>
    <xf numFmtId="187" fontId="1" fillId="2" borderId="15" xfId="0" applyNumberFormat="1" applyFont="1" applyFill="1" applyBorder="1" applyAlignment="1">
      <alignment horizontal="center"/>
    </xf>
    <xf numFmtId="189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>
      <alignment horizontal="right"/>
    </xf>
    <xf numFmtId="188" fontId="1" fillId="2" borderId="16" xfId="0" applyNumberFormat="1" applyFont="1" applyFill="1" applyBorder="1" applyAlignment="1"/>
    <xf numFmtId="190" fontId="1" fillId="2" borderId="17" xfId="0" applyNumberFormat="1" applyFont="1" applyFill="1" applyBorder="1" applyAlignment="1"/>
    <xf numFmtId="187" fontId="1" fillId="2" borderId="19" xfId="0" applyNumberFormat="1" applyFont="1" applyFill="1" applyBorder="1" applyAlignment="1">
      <alignment horizontal="center"/>
    </xf>
    <xf numFmtId="189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>
      <alignment horizontal="right"/>
    </xf>
    <xf numFmtId="188" fontId="1" fillId="2" borderId="20" xfId="0" applyNumberFormat="1" applyFont="1" applyFill="1" applyBorder="1" applyAlignment="1"/>
    <xf numFmtId="190" fontId="1" fillId="2" borderId="29" xfId="0" applyNumberFormat="1" applyFont="1" applyFill="1" applyBorder="1" applyAlignment="1">
      <alignment vertical="center"/>
    </xf>
    <xf numFmtId="0" fontId="1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7" fontId="2" fillId="0" borderId="19" xfId="0" applyNumberFormat="1" applyFont="1" applyBorder="1" applyAlignment="1">
      <alignment horizontal="center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8" fontId="2" fillId="0" borderId="19" xfId="0" applyNumberFormat="1" applyFont="1" applyBorder="1" applyAlignment="1">
      <alignment horizontal="right" vertical="center" wrapText="1"/>
    </xf>
    <xf numFmtId="188" fontId="1" fillId="2" borderId="19" xfId="0" applyNumberFormat="1" applyFont="1" applyFill="1" applyBorder="1" applyAlignment="1">
      <alignment vertical="center"/>
    </xf>
    <xf numFmtId="188" fontId="1" fillId="2" borderId="19" xfId="0" applyNumberFormat="1" applyFont="1" applyFill="1" applyBorder="1" applyAlignment="1">
      <alignment vertical="center"/>
    </xf>
    <xf numFmtId="187" fontId="1" fillId="2" borderId="30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11" fillId="10" borderId="19" xfId="0" applyNumberFormat="1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90" fontId="1" fillId="15" borderId="17" xfId="0" applyNumberFormat="1" applyFont="1" applyFill="1" applyBorder="1" applyAlignment="1"/>
    <xf numFmtId="187" fontId="2" fillId="0" borderId="20" xfId="0" applyNumberFormat="1" applyFont="1" applyBorder="1" applyAlignment="1">
      <alignment horizontal="center"/>
    </xf>
    <xf numFmtId="190" fontId="1" fillId="15" borderId="21" xfId="0" applyNumberFormat="1" applyFont="1" applyFill="1" applyBorder="1" applyAlignment="1"/>
    <xf numFmtId="187" fontId="1" fillId="15" borderId="22" xfId="0" applyNumberFormat="1" applyFont="1" applyFill="1" applyBorder="1" applyAlignment="1"/>
    <xf numFmtId="187" fontId="2" fillId="0" borderId="23" xfId="0" applyNumberFormat="1" applyFont="1" applyBorder="1" applyAlignment="1">
      <alignment horizontal="center"/>
    </xf>
    <xf numFmtId="187" fontId="1" fillId="0" borderId="17" xfId="0" applyNumberFormat="1" applyFont="1" applyBorder="1" applyAlignment="1">
      <alignment vertical="center"/>
    </xf>
    <xf numFmtId="187" fontId="1" fillId="0" borderId="18" xfId="0" applyNumberFormat="1" applyFont="1" applyBorder="1" applyAlignment="1">
      <alignment vertical="center"/>
    </xf>
    <xf numFmtId="0" fontId="14" fillId="22" borderId="30" xfId="0" quotePrefix="1" applyFont="1" applyFill="1" applyBorder="1" applyAlignment="1">
      <alignment vertical="center"/>
    </xf>
    <xf numFmtId="0" fontId="2" fillId="22" borderId="30" xfId="0" applyFont="1" applyFill="1" applyBorder="1" applyAlignment="1">
      <alignment vertical="center"/>
    </xf>
    <xf numFmtId="0" fontId="2" fillId="22" borderId="31" xfId="0" applyFont="1" applyFill="1" applyBorder="1" applyAlignment="1">
      <alignment vertical="center"/>
    </xf>
    <xf numFmtId="0" fontId="2" fillId="0" borderId="19" xfId="0" applyFont="1" applyBorder="1" applyAlignment="1">
      <alignment horizontal="center" vertical="center" wrapText="1"/>
    </xf>
    <xf numFmtId="188" fontId="2" fillId="0" borderId="19" xfId="0" applyNumberFormat="1" applyFont="1" applyBorder="1" applyAlignment="1">
      <alignment vertical="center"/>
    </xf>
    <xf numFmtId="0" fontId="2" fillId="23" borderId="30" xfId="0" applyFont="1" applyFill="1" applyBorder="1" applyAlignment="1">
      <alignment horizontal="right" vertical="center"/>
    </xf>
    <xf numFmtId="0" fontId="2" fillId="23" borderId="30" xfId="0" quotePrefix="1" applyFont="1" applyFill="1" applyBorder="1" applyAlignment="1">
      <alignment vertical="center"/>
    </xf>
    <xf numFmtId="0" fontId="2" fillId="23" borderId="30" xfId="0" applyFont="1" applyFill="1" applyBorder="1" applyAlignment="1">
      <alignment vertical="center"/>
    </xf>
    <xf numFmtId="0" fontId="2" fillId="23" borderId="31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10" borderId="30" xfId="0" applyFont="1" applyFill="1" applyBorder="1" applyAlignment="1">
      <alignment horizontal="right" vertical="center"/>
    </xf>
    <xf numFmtId="0" fontId="2" fillId="10" borderId="30" xfId="0" quotePrefix="1" applyFont="1" applyFill="1" applyBorder="1" applyAlignment="1">
      <alignment vertical="center"/>
    </xf>
    <xf numFmtId="0" fontId="2" fillId="10" borderId="30" xfId="0" applyFont="1" applyFill="1" applyBorder="1" applyAlignment="1">
      <alignment vertical="center"/>
    </xf>
    <xf numFmtId="0" fontId="2" fillId="10" borderId="31" xfId="0" applyFont="1" applyFill="1" applyBorder="1" applyAlignment="1">
      <alignment vertical="center"/>
    </xf>
    <xf numFmtId="187" fontId="1" fillId="0" borderId="18" xfId="0" applyNumberFormat="1" applyFont="1" applyBorder="1" applyAlignment="1">
      <alignment horizontal="left" vertical="center"/>
    </xf>
    <xf numFmtId="0" fontId="2" fillId="0" borderId="18" xfId="0" quotePrefix="1" applyFont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vertical="center" wrapText="1"/>
    </xf>
    <xf numFmtId="0" fontId="2" fillId="0" borderId="18" xfId="0" applyFont="1" applyBorder="1" applyAlignment="1">
      <alignment horizontal="right" vertical="center"/>
    </xf>
    <xf numFmtId="0" fontId="1" fillId="0" borderId="19" xfId="0" applyFont="1" applyBorder="1" applyAlignment="1">
      <alignment horizontal="center" vertical="center" wrapText="1"/>
    </xf>
    <xf numFmtId="189" fontId="1" fillId="2" borderId="19" xfId="0" applyNumberFormat="1" applyFont="1" applyFill="1" applyBorder="1" applyAlignment="1">
      <alignment horizontal="right" vertical="center" wrapText="1"/>
    </xf>
    <xf numFmtId="188" fontId="1" fillId="0" borderId="19" xfId="0" applyNumberFormat="1" applyFont="1" applyBorder="1" applyAlignment="1">
      <alignment horizontal="right" vertical="center" wrapText="1"/>
    </xf>
    <xf numFmtId="189" fontId="2" fillId="0" borderId="19" xfId="0" applyNumberFormat="1" applyFont="1" applyBorder="1" applyAlignment="1">
      <alignment horizontal="right" vertical="center" wrapText="1"/>
    </xf>
    <xf numFmtId="189" fontId="2" fillId="2" borderId="19" xfId="0" applyNumberFormat="1" applyFont="1" applyFill="1" applyBorder="1" applyAlignment="1">
      <alignment horizontal="right" vertical="center" wrapText="1"/>
    </xf>
    <xf numFmtId="0" fontId="2" fillId="0" borderId="18" xfId="0" quotePrefix="1" applyFont="1" applyBorder="1" applyAlignment="1">
      <alignment vertical="center"/>
    </xf>
    <xf numFmtId="0" fontId="2" fillId="7" borderId="30" xfId="0" applyFont="1" applyFill="1" applyBorder="1" applyAlignment="1">
      <alignment horizontal="right" vertical="center"/>
    </xf>
    <xf numFmtId="0" fontId="2" fillId="7" borderId="30" xfId="0" quotePrefix="1" applyFont="1" applyFill="1" applyBorder="1" applyAlignment="1">
      <alignment vertical="center"/>
    </xf>
    <xf numFmtId="0" fontId="2" fillId="7" borderId="30" xfId="0" applyFont="1" applyFill="1" applyBorder="1" applyAlignment="1">
      <alignment vertical="center"/>
    </xf>
    <xf numFmtId="0" fontId="2" fillId="7" borderId="31" xfId="0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187" fontId="1" fillId="21" borderId="29" xfId="0" applyNumberFormat="1" applyFont="1" applyFill="1" applyBorder="1" applyAlignment="1">
      <alignment vertical="center"/>
    </xf>
    <xf numFmtId="0" fontId="1" fillId="21" borderId="30" xfId="0" applyFont="1" applyFill="1" applyBorder="1" applyAlignment="1">
      <alignment vertical="center" wrapText="1"/>
    </xf>
    <xf numFmtId="187" fontId="1" fillId="21" borderId="30" xfId="0" applyNumberFormat="1" applyFont="1" applyFill="1" applyBorder="1" applyAlignment="1">
      <alignment vertical="center" wrapText="1"/>
    </xf>
    <xf numFmtId="0" fontId="2" fillId="21" borderId="30" xfId="0" applyFont="1" applyFill="1" applyBorder="1" applyAlignment="1">
      <alignment vertical="center" wrapText="1"/>
    </xf>
    <xf numFmtId="0" fontId="2" fillId="21" borderId="31" xfId="0" applyFont="1" applyFill="1" applyBorder="1" applyAlignment="1">
      <alignment vertical="center" wrapText="1"/>
    </xf>
    <xf numFmtId="0" fontId="2" fillId="21" borderId="19" xfId="0" applyFont="1" applyFill="1" applyBorder="1" applyAlignment="1">
      <alignment horizontal="center" vertical="center" wrapText="1"/>
    </xf>
    <xf numFmtId="189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horizontal="right" vertical="center" wrapText="1"/>
    </xf>
    <xf numFmtId="188" fontId="2" fillId="21" borderId="19" xfId="0" applyNumberFormat="1" applyFont="1" applyFill="1" applyBorder="1" applyAlignment="1">
      <alignment vertical="center" wrapText="1"/>
    </xf>
    <xf numFmtId="188" fontId="2" fillId="21" borderId="19" xfId="0" applyNumberFormat="1" applyFont="1" applyFill="1" applyBorder="1" applyAlignment="1">
      <alignment vertical="center"/>
    </xf>
    <xf numFmtId="0" fontId="1" fillId="9" borderId="31" xfId="0" applyFont="1" applyFill="1" applyBorder="1" applyAlignment="1">
      <alignment vertical="center"/>
    </xf>
    <xf numFmtId="188" fontId="1" fillId="9" borderId="19" xfId="0" applyNumberFormat="1" applyFont="1" applyFill="1" applyBorder="1" applyAlignment="1">
      <alignment vertical="center" wrapText="1"/>
    </xf>
    <xf numFmtId="188" fontId="1" fillId="9" borderId="19" xfId="0" applyNumberFormat="1" applyFont="1" applyFill="1" applyBorder="1" applyAlignment="1">
      <alignment vertical="center" wrapText="1"/>
    </xf>
    <xf numFmtId="188" fontId="2" fillId="2" borderId="19" xfId="0" applyNumberFormat="1" applyFont="1" applyFill="1" applyBorder="1" applyAlignment="1">
      <alignment horizontal="right" vertical="center" wrapText="1"/>
    </xf>
    <xf numFmtId="0" fontId="2" fillId="0" borderId="20" xfId="0" quotePrefix="1" applyFont="1" applyBorder="1" applyAlignment="1">
      <alignment vertical="center" wrapText="1"/>
    </xf>
    <xf numFmtId="0" fontId="2" fillId="0" borderId="20" xfId="0" quotePrefix="1" applyFont="1" applyBorder="1" applyAlignment="1">
      <alignment vertical="center"/>
    </xf>
    <xf numFmtId="189" fontId="2" fillId="2" borderId="30" xfId="0" applyNumberFormat="1" applyFont="1" applyFill="1" applyBorder="1" applyAlignment="1">
      <alignment horizontal="right" vertical="center"/>
    </xf>
    <xf numFmtId="0" fontId="1" fillId="21" borderId="30" xfId="0" applyFont="1" applyFill="1" applyBorder="1" applyAlignment="1">
      <alignment vertical="center"/>
    </xf>
    <xf numFmtId="190" fontId="1" fillId="21" borderId="30" xfId="0" applyNumberFormat="1" applyFont="1" applyFill="1" applyBorder="1" applyAlignment="1">
      <alignment vertical="center"/>
    </xf>
    <xf numFmtId="0" fontId="2" fillId="21" borderId="30" xfId="0" applyFont="1" applyFill="1" applyBorder="1" applyAlignment="1">
      <alignment vertical="center"/>
    </xf>
    <xf numFmtId="0" fontId="2" fillId="21" borderId="31" xfId="0" applyFont="1" applyFill="1" applyBorder="1" applyAlignment="1">
      <alignment vertical="center"/>
    </xf>
    <xf numFmtId="190" fontId="1" fillId="9" borderId="30" xfId="0" applyNumberFormat="1" applyFont="1" applyFill="1" applyBorder="1" applyAlignment="1">
      <alignment vertical="center"/>
    </xf>
    <xf numFmtId="0" fontId="15" fillId="22" borderId="30" xfId="0" quotePrefix="1" applyFont="1" applyFill="1" applyBorder="1" applyAlignment="1">
      <alignment vertical="center"/>
    </xf>
    <xf numFmtId="187" fontId="1" fillId="0" borderId="21" xfId="0" applyNumberFormat="1" applyFont="1" applyBorder="1" applyAlignment="1">
      <alignment vertical="center"/>
    </xf>
    <xf numFmtId="187" fontId="1" fillId="0" borderId="22" xfId="0" applyNumberFormat="1" applyFont="1" applyBorder="1" applyAlignment="1">
      <alignment vertical="center"/>
    </xf>
    <xf numFmtId="0" fontId="2" fillId="7" borderId="32" xfId="0" applyFont="1" applyFill="1" applyBorder="1" applyAlignment="1">
      <alignment horizontal="right" vertical="center"/>
    </xf>
    <xf numFmtId="0" fontId="2" fillId="7" borderId="32" xfId="0" quotePrefix="1" applyFont="1" applyFill="1" applyBorder="1" applyAlignment="1">
      <alignment vertical="center"/>
    </xf>
    <xf numFmtId="0" fontId="2" fillId="7" borderId="32" xfId="0" applyFont="1" applyFill="1" applyBorder="1" applyAlignment="1">
      <alignment vertical="center"/>
    </xf>
    <xf numFmtId="0" fontId="2" fillId="7" borderId="33" xfId="0" applyFont="1" applyFill="1" applyBorder="1" applyAlignment="1">
      <alignment vertical="center"/>
    </xf>
    <xf numFmtId="0" fontId="2" fillId="2" borderId="34" xfId="0" applyFont="1" applyFill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right" vertical="center" wrapText="1"/>
    </xf>
    <xf numFmtId="189" fontId="2" fillId="2" borderId="32" xfId="0" applyNumberFormat="1" applyFont="1" applyFill="1" applyBorder="1" applyAlignment="1">
      <alignment horizontal="right" vertical="center"/>
    </xf>
    <xf numFmtId="188" fontId="2" fillId="2" borderId="34" xfId="0" applyNumberFormat="1" applyFont="1" applyFill="1" applyBorder="1" applyAlignment="1">
      <alignment horizontal="right" vertical="center" wrapText="1"/>
    </xf>
    <xf numFmtId="188" fontId="2" fillId="2" borderId="34" xfId="0" applyNumberFormat="1" applyFont="1" applyFill="1" applyBorder="1" applyAlignment="1">
      <alignment vertical="center"/>
    </xf>
    <xf numFmtId="188" fontId="2" fillId="0" borderId="34" xfId="0" applyNumberFormat="1" applyFont="1" applyBorder="1" applyAlignment="1">
      <alignment vertical="center"/>
    </xf>
    <xf numFmtId="187" fontId="1" fillId="7" borderId="35" xfId="0" applyNumberFormat="1" applyFont="1" applyFill="1" applyBorder="1" applyAlignment="1">
      <alignment vertical="center"/>
    </xf>
    <xf numFmtId="187" fontId="1" fillId="7" borderId="36" xfId="0" applyNumberFormat="1" applyFont="1" applyFill="1" applyBorder="1" applyAlignment="1">
      <alignment vertical="center"/>
    </xf>
    <xf numFmtId="0" fontId="2" fillId="7" borderId="36" xfId="0" applyFont="1" applyFill="1" applyBorder="1" applyAlignment="1">
      <alignment vertical="center"/>
    </xf>
    <xf numFmtId="0" fontId="2" fillId="7" borderId="37" xfId="0" applyFont="1" applyFill="1" applyBorder="1" applyAlignment="1">
      <alignment vertical="center"/>
    </xf>
    <xf numFmtId="0" fontId="2" fillId="7" borderId="38" xfId="0" applyFont="1" applyFill="1" applyBorder="1" applyAlignment="1">
      <alignment horizontal="left" vertical="center"/>
    </xf>
    <xf numFmtId="189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horizontal="left" vertical="center"/>
    </xf>
    <xf numFmtId="188" fontId="2" fillId="7" borderId="38" xfId="0" applyNumberFormat="1" applyFont="1" applyFill="1" applyBorder="1" applyAlignment="1">
      <alignment vertical="center"/>
    </xf>
    <xf numFmtId="187" fontId="1" fillId="24" borderId="29" xfId="0" applyNumberFormat="1" applyFont="1" applyFill="1" applyBorder="1" applyAlignment="1">
      <alignment vertical="center"/>
    </xf>
    <xf numFmtId="187" fontId="1" fillId="24" borderId="30" xfId="0" applyNumberFormat="1" applyFont="1" applyFill="1" applyBorder="1" applyAlignment="1">
      <alignment vertical="center"/>
    </xf>
    <xf numFmtId="0" fontId="1" fillId="24" borderId="30" xfId="0" applyFont="1" applyFill="1" applyBorder="1" applyAlignment="1">
      <alignment vertical="center"/>
    </xf>
    <xf numFmtId="0" fontId="1" fillId="24" borderId="31" xfId="0" applyFont="1" applyFill="1" applyBorder="1" applyAlignment="1">
      <alignment vertical="center"/>
    </xf>
    <xf numFmtId="0" fontId="1" fillId="24" borderId="19" xfId="0" applyFont="1" applyFill="1" applyBorder="1" applyAlignment="1">
      <alignment horizontal="center" vertical="center"/>
    </xf>
    <xf numFmtId="189" fontId="1" fillId="24" borderId="19" xfId="0" applyNumberFormat="1" applyFont="1" applyFill="1" applyBorder="1" applyAlignment="1">
      <alignment horizontal="center" vertical="center"/>
    </xf>
    <xf numFmtId="188" fontId="1" fillId="24" borderId="19" xfId="0" applyNumberFormat="1" applyFont="1" applyFill="1" applyBorder="1" applyAlignment="1">
      <alignment horizontal="center" vertical="center"/>
    </xf>
    <xf numFmtId="188" fontId="2" fillId="24" borderId="19" xfId="0" applyNumberFormat="1" applyFont="1" applyFill="1" applyBorder="1" applyAlignment="1">
      <alignment horizontal="right" vertical="center" wrapText="1"/>
    </xf>
    <xf numFmtId="187" fontId="1" fillId="22" borderId="29" xfId="0" applyNumberFormat="1" applyFont="1" applyFill="1" applyBorder="1" applyAlignment="1">
      <alignment vertical="center"/>
    </xf>
    <xf numFmtId="0" fontId="1" fillId="22" borderId="30" xfId="0" applyFont="1" applyFill="1" applyBorder="1" applyAlignment="1">
      <alignment vertical="center"/>
    </xf>
    <xf numFmtId="187" fontId="1" fillId="22" borderId="30" xfId="0" applyNumberFormat="1" applyFont="1" applyFill="1" applyBorder="1" applyAlignment="1">
      <alignment vertical="center"/>
    </xf>
    <xf numFmtId="0" fontId="1" fillId="22" borderId="31" xfId="0" applyFont="1" applyFill="1" applyBorder="1" applyAlignment="1">
      <alignment vertical="center"/>
    </xf>
    <xf numFmtId="0" fontId="1" fillId="22" borderId="19" xfId="0" applyFont="1" applyFill="1" applyBorder="1" applyAlignment="1">
      <alignment horizontal="center" vertical="center" wrapText="1"/>
    </xf>
    <xf numFmtId="189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horizontal="right" vertical="center" wrapText="1"/>
    </xf>
    <xf numFmtId="188" fontId="1" fillId="22" borderId="19" xfId="0" applyNumberFormat="1" applyFont="1" applyFill="1" applyBorder="1" applyAlignment="1">
      <alignment vertical="center"/>
    </xf>
    <xf numFmtId="187" fontId="1" fillId="25" borderId="29" xfId="0" applyNumberFormat="1" applyFont="1" applyFill="1" applyBorder="1" applyAlignment="1">
      <alignment vertical="center"/>
    </xf>
    <xf numFmtId="187" fontId="1" fillId="25" borderId="30" xfId="0" applyNumberFormat="1" applyFont="1" applyFill="1" applyBorder="1" applyAlignment="1">
      <alignment vertical="center"/>
    </xf>
    <xf numFmtId="0" fontId="1" fillId="25" borderId="30" xfId="0" applyFont="1" applyFill="1" applyBorder="1" applyAlignment="1">
      <alignment vertical="center"/>
    </xf>
    <xf numFmtId="0" fontId="1" fillId="25" borderId="31" xfId="0" applyFont="1" applyFill="1" applyBorder="1" applyAlignment="1">
      <alignment vertical="center"/>
    </xf>
    <xf numFmtId="0" fontId="2" fillId="25" borderId="19" xfId="0" applyFont="1" applyFill="1" applyBorder="1" applyAlignment="1">
      <alignment horizontal="center" vertical="center" wrapText="1"/>
    </xf>
    <xf numFmtId="189" fontId="2" fillId="25" borderId="19" xfId="0" applyNumberFormat="1" applyFont="1" applyFill="1" applyBorder="1" applyAlignment="1">
      <alignment horizontal="right" vertical="center" wrapText="1"/>
    </xf>
    <xf numFmtId="188" fontId="2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vertical="center"/>
    </xf>
    <xf numFmtId="0" fontId="16" fillId="2" borderId="30" xfId="0" quotePrefix="1" applyFont="1" applyFill="1" applyBorder="1" applyAlignment="1">
      <alignment vertical="center"/>
    </xf>
    <xf numFmtId="0" fontId="2" fillId="0" borderId="18" xfId="0" applyFont="1" applyBorder="1" applyAlignment="1">
      <alignment vertical="center"/>
    </xf>
    <xf numFmtId="0" fontId="2" fillId="2" borderId="19" xfId="0" applyFont="1" applyFill="1" applyBorder="1" applyAlignment="1">
      <alignment horizontal="center" vertical="center" wrapText="1"/>
    </xf>
    <xf numFmtId="0" fontId="2" fillId="0" borderId="20" xfId="0" applyFont="1" applyBorder="1" applyAlignment="1">
      <alignment vertical="center"/>
    </xf>
    <xf numFmtId="189" fontId="2" fillId="4" borderId="19" xfId="0" applyNumberFormat="1" applyFont="1" applyFill="1" applyBorder="1" applyAlignment="1">
      <alignment horizontal="right" wrapText="1"/>
    </xf>
    <xf numFmtId="0" fontId="1" fillId="25" borderId="19" xfId="0" applyFont="1" applyFill="1" applyBorder="1" applyAlignment="1">
      <alignment horizontal="center" vertical="center" shrinkToFit="1"/>
    </xf>
    <xf numFmtId="189" fontId="1" fillId="25" borderId="19" xfId="0" applyNumberFormat="1" applyFont="1" applyFill="1" applyBorder="1" applyAlignment="1">
      <alignment horizontal="right" vertical="center" wrapText="1"/>
    </xf>
    <xf numFmtId="188" fontId="1" fillId="25" borderId="19" xfId="0" applyNumberFormat="1" applyFont="1" applyFill="1" applyBorder="1" applyAlignment="1">
      <alignment horizontal="right" vertical="center" wrapText="1"/>
    </xf>
    <xf numFmtId="0" fontId="1" fillId="25" borderId="19" xfId="0" applyFont="1" applyFill="1" applyBorder="1" applyAlignment="1">
      <alignment horizontal="center" vertical="center" wrapText="1"/>
    </xf>
    <xf numFmtId="189" fontId="2" fillId="4" borderId="32" xfId="0" applyNumberFormat="1" applyFont="1" applyFill="1" applyBorder="1" applyAlignment="1">
      <alignment horizontal="right" vertical="center"/>
    </xf>
    <xf numFmtId="188" fontId="2" fillId="0" borderId="34" xfId="0" applyNumberFormat="1" applyFont="1" applyBorder="1" applyAlignment="1">
      <alignment horizontal="right" vertical="center" wrapText="1"/>
    </xf>
    <xf numFmtId="187" fontId="1" fillId="25" borderId="30" xfId="0" applyNumberFormat="1" applyFont="1" applyFill="1" applyBorder="1" applyAlignment="1">
      <alignment horizontal="left" vertical="center"/>
    </xf>
    <xf numFmtId="188" fontId="1" fillId="2" borderId="19" xfId="0" applyNumberFormat="1" applyFont="1" applyFill="1" applyBorder="1" applyAlignment="1">
      <alignment horizontal="right" vertical="center" wrapText="1"/>
    </xf>
    <xf numFmtId="0" fontId="1" fillId="0" borderId="18" xfId="0" applyFont="1" applyBorder="1" applyAlignment="1">
      <alignment vertical="center"/>
    </xf>
    <xf numFmtId="188" fontId="1" fillId="0" borderId="19" xfId="0" applyNumberFormat="1" applyFont="1" applyBorder="1" applyAlignment="1">
      <alignment vertical="center"/>
    </xf>
    <xf numFmtId="0" fontId="2" fillId="0" borderId="20" xfId="0" quotePrefix="1" applyFont="1" applyBorder="1" applyAlignment="1">
      <alignment vertical="center"/>
    </xf>
    <xf numFmtId="187" fontId="1" fillId="22" borderId="30" xfId="0" applyNumberFormat="1" applyFont="1" applyFill="1" applyBorder="1" applyAlignment="1">
      <alignment horizontal="left" vertical="center"/>
    </xf>
    <xf numFmtId="187" fontId="1" fillId="26" borderId="35" xfId="0" applyNumberFormat="1" applyFont="1" applyFill="1" applyBorder="1" applyAlignment="1">
      <alignment vertical="center"/>
    </xf>
    <xf numFmtId="187" fontId="1" fillId="26" borderId="36" xfId="0" applyNumberFormat="1" applyFont="1" applyFill="1" applyBorder="1" applyAlignment="1">
      <alignment vertical="center"/>
    </xf>
    <xf numFmtId="0" fontId="1" fillId="26" borderId="36" xfId="0" applyFont="1" applyFill="1" applyBorder="1" applyAlignment="1">
      <alignment vertical="center"/>
    </xf>
    <xf numFmtId="0" fontId="1" fillId="26" borderId="37" xfId="0" applyFont="1" applyFill="1" applyBorder="1" applyAlignment="1">
      <alignment vertical="center"/>
    </xf>
    <xf numFmtId="0" fontId="1" fillId="26" borderId="38" xfId="0" applyFont="1" applyFill="1" applyBorder="1" applyAlignment="1">
      <alignment horizontal="left" vertical="center"/>
    </xf>
    <xf numFmtId="189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horizontal="left" vertical="center"/>
    </xf>
    <xf numFmtId="188" fontId="1" fillId="26" borderId="38" xfId="0" applyNumberFormat="1" applyFont="1" applyFill="1" applyBorder="1" applyAlignment="1">
      <alignment vertical="center"/>
    </xf>
    <xf numFmtId="188" fontId="2" fillId="26" borderId="38" xfId="0" applyNumberFormat="1" applyFont="1" applyFill="1" applyBorder="1" applyAlignment="1">
      <alignment vertical="center"/>
    </xf>
    <xf numFmtId="187" fontId="1" fillId="27" borderId="29" xfId="0" applyNumberFormat="1" applyFont="1" applyFill="1" applyBorder="1" applyAlignment="1">
      <alignment vertical="center"/>
    </xf>
    <xf numFmtId="187" fontId="1" fillId="27" borderId="30" xfId="0" applyNumberFormat="1" applyFont="1" applyFill="1" applyBorder="1" applyAlignment="1">
      <alignment vertical="center"/>
    </xf>
    <xf numFmtId="0" fontId="1" fillId="27" borderId="30" xfId="0" applyFont="1" applyFill="1" applyBorder="1" applyAlignment="1">
      <alignment vertical="center"/>
    </xf>
    <xf numFmtId="0" fontId="1" fillId="27" borderId="31" xfId="0" applyFont="1" applyFill="1" applyBorder="1" applyAlignment="1">
      <alignment vertical="center"/>
    </xf>
    <xf numFmtId="0" fontId="1" fillId="27" borderId="19" xfId="0" applyFont="1" applyFill="1" applyBorder="1" applyAlignment="1">
      <alignment horizontal="center" vertical="center"/>
    </xf>
    <xf numFmtId="189" fontId="1" fillId="27" borderId="19" xfId="0" applyNumberFormat="1" applyFont="1" applyFill="1" applyBorder="1" applyAlignment="1">
      <alignment vertical="center"/>
    </xf>
    <xf numFmtId="188" fontId="1" fillId="27" borderId="19" xfId="0" applyNumberFormat="1" applyFont="1" applyFill="1" applyBorder="1" applyAlignment="1">
      <alignment vertical="center"/>
    </xf>
    <xf numFmtId="188" fontId="2" fillId="27" borderId="19" xfId="0" applyNumberFormat="1" applyFont="1" applyFill="1" applyBorder="1" applyAlignment="1">
      <alignment horizontal="right" vertical="center" wrapText="1"/>
    </xf>
    <xf numFmtId="187" fontId="1" fillId="28" borderId="29" xfId="0" applyNumberFormat="1" applyFont="1" applyFill="1" applyBorder="1" applyAlignment="1">
      <alignment vertical="center"/>
    </xf>
    <xf numFmtId="0" fontId="1" fillId="28" borderId="30" xfId="0" applyFont="1" applyFill="1" applyBorder="1" applyAlignment="1">
      <alignment vertical="center"/>
    </xf>
    <xf numFmtId="0" fontId="1" fillId="28" borderId="31" xfId="0" applyFont="1" applyFill="1" applyBorder="1" applyAlignment="1">
      <alignment vertical="center"/>
    </xf>
    <xf numFmtId="0" fontId="1" fillId="28" borderId="19" xfId="0" applyFont="1" applyFill="1" applyBorder="1" applyAlignment="1">
      <alignment horizontal="center" vertical="center" wrapText="1"/>
    </xf>
    <xf numFmtId="189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horizontal="right" vertical="center" wrapText="1"/>
    </xf>
    <xf numFmtId="188" fontId="1" fillId="28" borderId="19" xfId="0" applyNumberFormat="1" applyFont="1" applyFill="1" applyBorder="1" applyAlignment="1">
      <alignment vertical="center"/>
    </xf>
    <xf numFmtId="187" fontId="1" fillId="27" borderId="31" xfId="0" applyNumberFormat="1" applyFont="1" applyFill="1" applyBorder="1" applyAlignment="1">
      <alignment vertical="center"/>
    </xf>
    <xf numFmtId="0" fontId="1" fillId="27" borderId="19" xfId="0" applyFont="1" applyFill="1" applyBorder="1" applyAlignment="1">
      <alignment horizontal="left" vertical="center"/>
    </xf>
    <xf numFmtId="189" fontId="1" fillId="27" borderId="19" xfId="0" applyNumberFormat="1" applyFont="1" applyFill="1" applyBorder="1" applyAlignment="1">
      <alignment horizontal="right" vertical="center"/>
    </xf>
    <xf numFmtId="188" fontId="1" fillId="27" borderId="19" xfId="0" applyNumberFormat="1" applyFont="1" applyFill="1" applyBorder="1" applyAlignment="1">
      <alignment horizontal="right" vertical="center"/>
    </xf>
    <xf numFmtId="190" fontId="1" fillId="28" borderId="29" xfId="0" applyNumberFormat="1" applyFont="1" applyFill="1" applyBorder="1" applyAlignment="1">
      <alignment vertical="center"/>
    </xf>
    <xf numFmtId="190" fontId="1" fillId="28" borderId="30" xfId="0" applyNumberFormat="1" applyFont="1" applyFill="1" applyBorder="1" applyAlignment="1">
      <alignment vertical="center"/>
    </xf>
    <xf numFmtId="187" fontId="1" fillId="28" borderId="30" xfId="0" applyNumberFormat="1" applyFont="1" applyFill="1" applyBorder="1" applyAlignment="1">
      <alignment vertical="center"/>
    </xf>
    <xf numFmtId="189" fontId="2" fillId="2" borderId="31" xfId="0" applyNumberFormat="1" applyFont="1" applyFill="1" applyBorder="1" applyAlignment="1">
      <alignment horizontal="right" vertical="center"/>
    </xf>
    <xf numFmtId="190" fontId="1" fillId="28" borderId="39" xfId="0" applyNumberFormat="1" applyFont="1" applyFill="1" applyBorder="1" applyAlignment="1">
      <alignment vertical="center"/>
    </xf>
    <xf numFmtId="0" fontId="1" fillId="28" borderId="40" xfId="0" applyFont="1" applyFill="1" applyBorder="1" applyAlignment="1">
      <alignment vertical="center"/>
    </xf>
    <xf numFmtId="190" fontId="1" fillId="28" borderId="40" xfId="0" applyNumberFormat="1" applyFont="1" applyFill="1" applyBorder="1" applyAlignment="1">
      <alignment vertical="center"/>
    </xf>
    <xf numFmtId="187" fontId="1" fillId="28" borderId="40" xfId="0" applyNumberFormat="1" applyFont="1" applyFill="1" applyBorder="1" applyAlignment="1">
      <alignment vertical="center"/>
    </xf>
    <xf numFmtId="0" fontId="1" fillId="28" borderId="41" xfId="0" applyFont="1" applyFill="1" applyBorder="1" applyAlignment="1">
      <alignment vertical="center"/>
    </xf>
    <xf numFmtId="0" fontId="1" fillId="28" borderId="42" xfId="0" applyFont="1" applyFill="1" applyBorder="1" applyAlignment="1">
      <alignment horizontal="center" vertical="center" wrapText="1"/>
    </xf>
    <xf numFmtId="189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horizontal="right" vertical="center" wrapText="1"/>
    </xf>
    <xf numFmtId="188" fontId="1" fillId="28" borderId="42" xfId="0" applyNumberFormat="1" applyFont="1" applyFill="1" applyBorder="1" applyAlignment="1">
      <alignment vertical="center"/>
    </xf>
    <xf numFmtId="189" fontId="2" fillId="0" borderId="15" xfId="0" applyNumberFormat="1" applyFont="1" applyBorder="1" applyAlignment="1">
      <alignment horizontal="right" vertical="center" wrapText="1"/>
    </xf>
    <xf numFmtId="188" fontId="2" fillId="0" borderId="15" xfId="0" applyNumberFormat="1" applyFont="1" applyBorder="1" applyAlignment="1">
      <alignment horizontal="right" vertical="center" wrapText="1"/>
    </xf>
    <xf numFmtId="0" fontId="1" fillId="28" borderId="30" xfId="0" applyFont="1" applyFill="1" applyBorder="1" applyAlignment="1">
      <alignment vertical="center"/>
    </xf>
    <xf numFmtId="189" fontId="1" fillId="28" borderId="19" xfId="0" applyNumberFormat="1" applyFont="1" applyFill="1" applyBorder="1" applyAlignment="1">
      <alignment horizontal="center" vertical="center"/>
    </xf>
    <xf numFmtId="0" fontId="17" fillId="0" borderId="18" xfId="0" applyFont="1" applyBorder="1" applyAlignment="1">
      <alignment vertical="center"/>
    </xf>
    <xf numFmtId="189" fontId="2" fillId="2" borderId="19" xfId="0" applyNumberFormat="1" applyFont="1" applyFill="1" applyBorder="1" applyAlignment="1">
      <alignment horizontal="center" vertical="center"/>
    </xf>
    <xf numFmtId="188" fontId="2" fillId="2" borderId="19" xfId="0" applyNumberFormat="1" applyFont="1" applyFill="1" applyBorder="1" applyAlignment="1">
      <alignment horizontal="center" vertical="center"/>
    </xf>
    <xf numFmtId="188" fontId="2" fillId="0" borderId="19" xfId="0" applyNumberFormat="1" applyFont="1" applyBorder="1" applyAlignment="1">
      <alignment horizontal="left" vertical="center" shrinkToFit="1"/>
    </xf>
    <xf numFmtId="0" fontId="2" fillId="0" borderId="19" xfId="0" applyFont="1" applyBorder="1" applyAlignment="1">
      <alignment horizontal="center" vertical="center" wrapText="1"/>
    </xf>
    <xf numFmtId="189" fontId="2" fillId="2" borderId="19" xfId="0" applyNumberFormat="1" applyFont="1" applyFill="1" applyBorder="1" applyAlignment="1">
      <alignment horizontal="center" vertical="center"/>
    </xf>
    <xf numFmtId="0" fontId="1" fillId="0" borderId="22" xfId="0" applyFont="1" applyBorder="1" applyAlignment="1">
      <alignment vertical="center"/>
    </xf>
    <xf numFmtId="0" fontId="2" fillId="0" borderId="22" xfId="0" applyFont="1" applyBorder="1" applyAlignment="1">
      <alignment vertical="center"/>
    </xf>
    <xf numFmtId="0" fontId="2" fillId="0" borderId="23" xfId="0" applyFont="1" applyBorder="1" applyAlignment="1">
      <alignment vertical="center"/>
    </xf>
    <xf numFmtId="0" fontId="2" fillId="0" borderId="34" xfId="0" applyFont="1" applyBorder="1" applyAlignment="1">
      <alignment horizontal="center" vertical="center" wrapText="1"/>
    </xf>
    <xf numFmtId="189" fontId="2" fillId="2" borderId="34" xfId="0" applyNumberFormat="1" applyFont="1" applyFill="1" applyBorder="1" applyAlignment="1">
      <alignment horizontal="center" vertical="center"/>
    </xf>
    <xf numFmtId="188" fontId="2" fillId="2" borderId="34" xfId="0" applyNumberFormat="1" applyFont="1" applyFill="1" applyBorder="1" applyAlignment="1">
      <alignment horizontal="center" vertical="center"/>
    </xf>
    <xf numFmtId="188" fontId="2" fillId="0" borderId="34" xfId="0" applyNumberFormat="1" applyFont="1" applyBorder="1" applyAlignment="1">
      <alignment horizontal="left" vertical="center" shrinkToFit="1"/>
    </xf>
    <xf numFmtId="0" fontId="1" fillId="29" borderId="35" xfId="0" applyFont="1" applyFill="1" applyBorder="1" applyAlignment="1">
      <alignment vertical="center"/>
    </xf>
    <xf numFmtId="0" fontId="1" fillId="29" borderId="36" xfId="0" applyFont="1" applyFill="1" applyBorder="1" applyAlignment="1">
      <alignment vertical="center"/>
    </xf>
    <xf numFmtId="0" fontId="1" fillId="29" borderId="37" xfId="0" applyFont="1" applyFill="1" applyBorder="1" applyAlignment="1">
      <alignment vertical="center"/>
    </xf>
    <xf numFmtId="0" fontId="1" fillId="29" borderId="38" xfId="0" applyFont="1" applyFill="1" applyBorder="1" applyAlignment="1">
      <alignment vertical="center"/>
    </xf>
    <xf numFmtId="189" fontId="1" fillId="29" borderId="38" xfId="0" applyNumberFormat="1" applyFont="1" applyFill="1" applyBorder="1" applyAlignment="1">
      <alignment vertical="center"/>
    </xf>
    <xf numFmtId="188" fontId="1" fillId="29" borderId="38" xfId="0" applyNumberFormat="1" applyFont="1" applyFill="1" applyBorder="1" applyAlignment="1">
      <alignment vertical="center"/>
    </xf>
    <xf numFmtId="0" fontId="1" fillId="30" borderId="29" xfId="0" applyFont="1" applyFill="1" applyBorder="1" applyAlignment="1">
      <alignment vertical="center"/>
    </xf>
    <xf numFmtId="0" fontId="1" fillId="30" borderId="30" xfId="0" applyFont="1" applyFill="1" applyBorder="1" applyAlignment="1">
      <alignment vertical="center"/>
    </xf>
    <xf numFmtId="0" fontId="1" fillId="30" borderId="31" xfId="0" applyFont="1" applyFill="1" applyBorder="1" applyAlignment="1">
      <alignment vertical="center"/>
    </xf>
    <xf numFmtId="0" fontId="1" fillId="30" borderId="19" xfId="0" applyFont="1" applyFill="1" applyBorder="1" applyAlignment="1">
      <alignment horizontal="left" vertical="center"/>
    </xf>
    <xf numFmtId="189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horizontal="left" vertical="center"/>
    </xf>
    <xf numFmtId="188" fontId="1" fillId="30" borderId="19" xfId="0" applyNumberFormat="1" applyFont="1" applyFill="1" applyBorder="1" applyAlignment="1">
      <alignment vertical="center"/>
    </xf>
    <xf numFmtId="0" fontId="1" fillId="31" borderId="29" xfId="0" applyFont="1" applyFill="1" applyBorder="1" applyAlignment="1">
      <alignment vertical="center"/>
    </xf>
    <xf numFmtId="187" fontId="1" fillId="31" borderId="30" xfId="0" applyNumberFormat="1" applyFont="1" applyFill="1" applyBorder="1" applyAlignment="1">
      <alignment vertical="center"/>
    </xf>
    <xf numFmtId="0" fontId="1" fillId="31" borderId="30" xfId="0" applyFont="1" applyFill="1" applyBorder="1" applyAlignment="1">
      <alignment vertical="center"/>
    </xf>
    <xf numFmtId="0" fontId="1" fillId="31" borderId="31" xfId="0" applyFont="1" applyFill="1" applyBorder="1" applyAlignment="1">
      <alignment vertical="center"/>
    </xf>
    <xf numFmtId="0" fontId="1" fillId="31" borderId="19" xfId="0" applyFont="1" applyFill="1" applyBorder="1" applyAlignment="1">
      <alignment horizontal="center" vertical="center"/>
    </xf>
    <xf numFmtId="189" fontId="1" fillId="31" borderId="19" xfId="0" applyNumberFormat="1" applyFont="1" applyFill="1" applyBorder="1" applyAlignment="1">
      <alignment horizontal="center" vertical="center"/>
    </xf>
    <xf numFmtId="188" fontId="1" fillId="31" borderId="19" xfId="0" applyNumberFormat="1" applyFont="1" applyFill="1" applyBorder="1" applyAlignment="1">
      <alignment horizontal="right" vertical="center" wrapText="1"/>
    </xf>
    <xf numFmtId="188" fontId="1" fillId="31" borderId="19" xfId="0" applyNumberFormat="1" applyFont="1" applyFill="1" applyBorder="1" applyAlignment="1">
      <alignment vertical="center"/>
    </xf>
    <xf numFmtId="0" fontId="2" fillId="2" borderId="31" xfId="0" applyFont="1" applyFill="1" applyBorder="1" applyAlignment="1">
      <alignment horizontal="left" vertical="center"/>
    </xf>
    <xf numFmtId="187" fontId="1" fillId="2" borderId="17" xfId="0" applyNumberFormat="1" applyFont="1" applyFill="1" applyBorder="1" applyAlignment="1">
      <alignment vertical="center"/>
    </xf>
    <xf numFmtId="187" fontId="1" fillId="2" borderId="18" xfId="0" applyNumberFormat="1" applyFont="1" applyFill="1" applyBorder="1" applyAlignment="1">
      <alignment vertical="center"/>
    </xf>
    <xf numFmtId="0" fontId="18" fillId="2" borderId="30" xfId="0" applyFont="1" applyFill="1" applyBorder="1" applyAlignment="1">
      <alignment vertical="center"/>
    </xf>
    <xf numFmtId="0" fontId="2" fillId="2" borderId="31" xfId="0" applyFont="1" applyFill="1" applyBorder="1" applyAlignment="1">
      <alignment vertical="center"/>
    </xf>
    <xf numFmtId="188" fontId="2" fillId="6" borderId="19" xfId="0" applyNumberFormat="1" applyFont="1" applyFill="1" applyBorder="1" applyAlignment="1">
      <alignment vertical="center"/>
    </xf>
    <xf numFmtId="0" fontId="2" fillId="2" borderId="20" xfId="0" quotePrefix="1" applyFont="1" applyFill="1" applyBorder="1" applyAlignment="1">
      <alignment vertical="center"/>
    </xf>
    <xf numFmtId="0" fontId="2" fillId="2" borderId="20" xfId="0" applyFont="1" applyFill="1" applyBorder="1" applyAlignment="1">
      <alignment vertical="center"/>
    </xf>
    <xf numFmtId="0" fontId="2" fillId="31" borderId="30" xfId="0" applyFont="1" applyFill="1" applyBorder="1" applyAlignment="1">
      <alignment vertical="center"/>
    </xf>
    <xf numFmtId="0" fontId="2" fillId="31" borderId="31" xfId="0" applyFont="1" applyFill="1" applyBorder="1" applyAlignment="1">
      <alignment vertical="center"/>
    </xf>
    <xf numFmtId="0" fontId="1" fillId="31" borderId="18" xfId="0" applyFont="1" applyFill="1" applyBorder="1" applyAlignment="1">
      <alignment vertical="center"/>
    </xf>
    <xf numFmtId="0" fontId="2" fillId="31" borderId="18" xfId="0" applyFont="1" applyFill="1" applyBorder="1" applyAlignment="1">
      <alignment vertical="center"/>
    </xf>
    <xf numFmtId="0" fontId="2" fillId="31" borderId="20" xfId="0" applyFont="1" applyFill="1" applyBorder="1" applyAlignment="1">
      <alignment vertical="center"/>
    </xf>
    <xf numFmtId="0" fontId="1" fillId="31" borderId="20" xfId="0" applyFont="1" applyFill="1" applyBorder="1" applyAlignment="1">
      <alignment vertical="center"/>
    </xf>
    <xf numFmtId="0" fontId="1" fillId="0" borderId="20" xfId="0" applyFont="1" applyBorder="1" applyAlignment="1">
      <alignment vertical="center"/>
    </xf>
    <xf numFmtId="0" fontId="1" fillId="2" borderId="19" xfId="0" applyFont="1" applyFill="1" applyBorder="1" applyAlignment="1">
      <alignment horizontal="center" vertical="center" wrapText="1"/>
    </xf>
    <xf numFmtId="0" fontId="2" fillId="0" borderId="18" xfId="0" quotePrefix="1" applyFont="1" applyBorder="1" applyAlignment="1">
      <alignment horizontal="left" vertical="center"/>
    </xf>
    <xf numFmtId="189" fontId="1" fillId="2" borderId="19" xfId="0" applyNumberFormat="1" applyFont="1" applyFill="1" applyBorder="1" applyAlignment="1">
      <alignment horizontal="center" vertical="center"/>
    </xf>
    <xf numFmtId="189" fontId="1" fillId="15" borderId="19" xfId="0" applyNumberFormat="1" applyFont="1" applyFill="1" applyBorder="1" applyAlignment="1">
      <alignment horizontal="right" wrapText="1"/>
    </xf>
    <xf numFmtId="189" fontId="1" fillId="4" borderId="19" xfId="0" applyNumberFormat="1" applyFont="1" applyFill="1" applyBorder="1" applyAlignment="1">
      <alignment horizontal="right" wrapText="1"/>
    </xf>
    <xf numFmtId="189" fontId="2" fillId="4" borderId="19" xfId="0" applyNumberFormat="1" applyFont="1" applyFill="1" applyBorder="1" applyAlignment="1">
      <alignment horizontal="right" wrapText="1"/>
    </xf>
    <xf numFmtId="187" fontId="1" fillId="0" borderId="22" xfId="0" applyNumberFormat="1" applyFont="1" applyBorder="1" applyAlignment="1">
      <alignment horizontal="left" vertical="center"/>
    </xf>
    <xf numFmtId="0" fontId="2" fillId="0" borderId="22" xfId="0" applyFont="1" applyBorder="1" applyAlignment="1">
      <alignment horizontal="right" vertical="center"/>
    </xf>
    <xf numFmtId="0" fontId="2" fillId="0" borderId="23" xfId="0" quotePrefix="1" applyFont="1" applyBorder="1" applyAlignment="1">
      <alignment vertical="center"/>
    </xf>
    <xf numFmtId="189" fontId="2" fillId="2" borderId="34" xfId="0" applyNumberFormat="1" applyFont="1" applyFill="1" applyBorder="1" applyAlignment="1">
      <alignment horizontal="center" vertical="center"/>
    </xf>
    <xf numFmtId="0" fontId="2" fillId="0" borderId="18" xfId="0" quotePrefix="1" applyFont="1" applyBorder="1" applyAlignment="1">
      <alignment horizontal="left" vertical="center"/>
    </xf>
    <xf numFmtId="189" fontId="2" fillId="0" borderId="19" xfId="0" applyNumberFormat="1" applyFont="1" applyBorder="1" applyAlignment="1">
      <alignment horizontal="center" vertical="center"/>
    </xf>
    <xf numFmtId="0" fontId="1" fillId="2" borderId="19" xfId="0" applyFont="1" applyFill="1" applyBorder="1" applyAlignment="1">
      <alignment horizontal="center" vertical="center" wrapText="1"/>
    </xf>
    <xf numFmtId="187" fontId="2" fillId="0" borderId="17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vertical="center"/>
    </xf>
    <xf numFmtId="187" fontId="2" fillId="0" borderId="18" xfId="0" applyNumberFormat="1" applyFont="1" applyBorder="1" applyAlignment="1">
      <alignment horizontal="left" vertical="center"/>
    </xf>
    <xf numFmtId="0" fontId="1" fillId="31" borderId="39" xfId="0" applyFont="1" applyFill="1" applyBorder="1" applyAlignment="1">
      <alignment vertical="center"/>
    </xf>
    <xf numFmtId="187" fontId="1" fillId="31" borderId="40" xfId="0" applyNumberFormat="1" applyFont="1" applyFill="1" applyBorder="1" applyAlignment="1">
      <alignment vertical="center"/>
    </xf>
    <xf numFmtId="0" fontId="1" fillId="31" borderId="40" xfId="0" applyFont="1" applyFill="1" applyBorder="1" applyAlignment="1">
      <alignment vertical="center"/>
    </xf>
    <xf numFmtId="0" fontId="1" fillId="31" borderId="41" xfId="0" applyFont="1" applyFill="1" applyBorder="1" applyAlignment="1">
      <alignment vertical="center"/>
    </xf>
    <xf numFmtId="0" fontId="1" fillId="31" borderId="42" xfId="0" applyFont="1" applyFill="1" applyBorder="1" applyAlignment="1">
      <alignment horizontal="center" vertical="center"/>
    </xf>
    <xf numFmtId="189" fontId="1" fillId="31" borderId="42" xfId="0" applyNumberFormat="1" applyFont="1" applyFill="1" applyBorder="1" applyAlignment="1">
      <alignment horizontal="center" vertical="center"/>
    </xf>
    <xf numFmtId="188" fontId="1" fillId="31" borderId="42" xfId="0" applyNumberFormat="1" applyFont="1" applyFill="1" applyBorder="1" applyAlignment="1">
      <alignment horizontal="right" vertical="center" wrapText="1"/>
    </xf>
    <xf numFmtId="188" fontId="1" fillId="31" borderId="42" xfId="0" applyNumberFormat="1" applyFont="1" applyFill="1" applyBorder="1" applyAlignment="1">
      <alignment vertical="center"/>
    </xf>
    <xf numFmtId="189" fontId="2" fillId="4" borderId="30" xfId="0" applyNumberFormat="1" applyFont="1" applyFill="1" applyBorder="1" applyAlignment="1">
      <alignment horizontal="right" vertical="center"/>
    </xf>
    <xf numFmtId="0" fontId="1" fillId="0" borderId="18" xfId="0" quotePrefix="1" applyFont="1" applyBorder="1" applyAlignment="1">
      <alignment vertical="center"/>
    </xf>
    <xf numFmtId="187" fontId="1" fillId="22" borderId="18" xfId="0" applyNumberFormat="1" applyFont="1" applyFill="1" applyBorder="1" applyAlignment="1">
      <alignment horizontal="left" vertical="center"/>
    </xf>
    <xf numFmtId="0" fontId="1" fillId="22" borderId="18" xfId="0" applyFont="1" applyFill="1" applyBorder="1" applyAlignment="1">
      <alignment vertical="center"/>
    </xf>
    <xf numFmtId="0" fontId="1" fillId="22" borderId="20" xfId="0" applyFont="1" applyFill="1" applyBorder="1" applyAlignment="1">
      <alignment vertical="center"/>
    </xf>
    <xf numFmtId="0" fontId="1" fillId="0" borderId="17" xfId="0" applyFont="1" applyBorder="1" applyAlignment="1">
      <alignment horizontal="center" vertical="center"/>
    </xf>
    <xf numFmtId="189" fontId="1" fillId="0" borderId="19" xfId="0" applyNumberFormat="1" applyFont="1" applyBorder="1" applyAlignment="1">
      <alignment horizontal="right" vertical="center" wrapText="1"/>
    </xf>
    <xf numFmtId="189" fontId="1" fillId="0" borderId="19" xfId="0" applyNumberFormat="1" applyFont="1" applyBorder="1" applyAlignment="1">
      <alignment horizontal="right" vertical="center" wrapText="1"/>
    </xf>
    <xf numFmtId="0" fontId="2" fillId="0" borderId="20" xfId="0" applyFont="1" applyBorder="1" applyAlignment="1">
      <alignment horizontal="left" vertical="center"/>
    </xf>
    <xf numFmtId="0" fontId="2" fillId="0" borderId="17" xfId="0" applyFont="1" applyBorder="1" applyAlignment="1">
      <alignment horizontal="center" vertical="center"/>
    </xf>
    <xf numFmtId="187" fontId="2" fillId="0" borderId="13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vertical="center"/>
    </xf>
    <xf numFmtId="187" fontId="2" fillId="0" borderId="14" xfId="0" applyNumberFormat="1" applyFont="1" applyBorder="1" applyAlignment="1">
      <alignment horizontal="left" vertical="center"/>
    </xf>
    <xf numFmtId="187" fontId="1" fillId="0" borderId="14" xfId="0" applyNumberFormat="1" applyFont="1" applyBorder="1" applyAlignment="1">
      <alignment horizontal="left" vertical="center"/>
    </xf>
    <xf numFmtId="0" fontId="2" fillId="0" borderId="14" xfId="0" applyFont="1" applyBorder="1" applyAlignment="1">
      <alignment vertical="center"/>
    </xf>
    <xf numFmtId="0" fontId="2" fillId="0" borderId="16" xfId="0" applyFont="1" applyBorder="1" applyAlignment="1">
      <alignment vertical="center"/>
    </xf>
    <xf numFmtId="0" fontId="1" fillId="0" borderId="13" xfId="0" applyFont="1" applyBorder="1" applyAlignment="1">
      <alignment horizontal="center" vertical="center"/>
    </xf>
    <xf numFmtId="188" fontId="2" fillId="0" borderId="15" xfId="0" applyNumberFormat="1" applyFont="1" applyBorder="1" applyAlignment="1">
      <alignment vertical="center"/>
    </xf>
    <xf numFmtId="187" fontId="2" fillId="0" borderId="21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vertical="center"/>
    </xf>
    <xf numFmtId="187" fontId="2" fillId="0" borderId="22" xfId="0" applyNumberFormat="1" applyFont="1" applyBorder="1" applyAlignment="1">
      <alignment horizontal="left" vertical="center"/>
    </xf>
    <xf numFmtId="0" fontId="2" fillId="0" borderId="21" xfId="0" applyFont="1" applyBorder="1" applyAlignment="1">
      <alignment horizontal="center" vertical="center"/>
    </xf>
    <xf numFmtId="189" fontId="2" fillId="0" borderId="34" xfId="0" applyNumberFormat="1" applyFont="1" applyBorder="1" applyAlignment="1">
      <alignment horizontal="right" vertical="center" wrapText="1"/>
    </xf>
    <xf numFmtId="189" fontId="2" fillId="4" borderId="34" xfId="0" applyNumberFormat="1" applyFont="1" applyFill="1" applyBorder="1" applyAlignment="1">
      <alignment horizontal="right" vertical="center" wrapText="1"/>
    </xf>
    <xf numFmtId="187" fontId="1" fillId="0" borderId="13" xfId="0" applyNumberFormat="1" applyFont="1" applyBorder="1" applyAlignment="1">
      <alignment vertical="center"/>
    </xf>
    <xf numFmtId="187" fontId="1" fillId="0" borderId="14" xfId="0" applyNumberFormat="1" applyFont="1" applyBorder="1" applyAlignment="1">
      <alignment vertical="center"/>
    </xf>
    <xf numFmtId="187" fontId="1" fillId="22" borderId="14" xfId="0" applyNumberFormat="1" applyFont="1" applyFill="1" applyBorder="1" applyAlignment="1">
      <alignment horizontal="left" vertical="center"/>
    </xf>
    <xf numFmtId="0" fontId="1" fillId="22" borderId="14" xfId="0" applyFont="1" applyFill="1" applyBorder="1" applyAlignment="1">
      <alignment vertical="center"/>
    </xf>
    <xf numFmtId="0" fontId="1" fillId="22" borderId="16" xfId="0" applyFont="1" applyFill="1" applyBorder="1" applyAlignment="1">
      <alignment vertical="center"/>
    </xf>
    <xf numFmtId="0" fontId="1" fillId="22" borderId="15" xfId="0" applyFont="1" applyFill="1" applyBorder="1" applyAlignment="1">
      <alignment horizontal="center" vertical="center" wrapText="1"/>
    </xf>
    <xf numFmtId="189" fontId="1" fillId="22" borderId="15" xfId="0" applyNumberFormat="1" applyFont="1" applyFill="1" applyBorder="1" applyAlignment="1">
      <alignment horizontal="right" vertical="center" wrapText="1"/>
    </xf>
    <xf numFmtId="188" fontId="1" fillId="22" borderId="15" xfId="0" applyNumberFormat="1" applyFont="1" applyFill="1" applyBorder="1" applyAlignment="1">
      <alignment horizontal="right" vertical="center" wrapText="1"/>
    </xf>
    <xf numFmtId="188" fontId="1" fillId="0" borderId="15" xfId="0" applyNumberFormat="1" applyFont="1" applyBorder="1" applyAlignment="1">
      <alignment vertical="center"/>
    </xf>
    <xf numFmtId="187" fontId="1" fillId="0" borderId="30" xfId="0" applyNumberFormat="1" applyFont="1" applyBorder="1" applyAlignment="1">
      <alignment horizontal="left" vertical="center"/>
    </xf>
    <xf numFmtId="0" fontId="1" fillId="0" borderId="30" xfId="0" applyFont="1" applyBorder="1" applyAlignment="1">
      <alignment vertical="center"/>
    </xf>
    <xf numFmtId="0" fontId="1" fillId="0" borderId="31" xfId="0" applyFont="1" applyBorder="1" applyAlignment="1">
      <alignment vertical="center"/>
    </xf>
    <xf numFmtId="0" fontId="1" fillId="0" borderId="29" xfId="0" applyFont="1" applyBorder="1" applyAlignment="1">
      <alignment horizontal="center" vertical="center"/>
    </xf>
    <xf numFmtId="187" fontId="2" fillId="0" borderId="18" xfId="0" applyNumberFormat="1" applyFont="1" applyBorder="1" applyAlignment="1">
      <alignment horizontal="left" vertical="center"/>
    </xf>
    <xf numFmtId="0" fontId="2" fillId="22" borderId="18" xfId="0" applyFont="1" applyFill="1" applyBorder="1" applyAlignment="1">
      <alignment vertical="center"/>
    </xf>
    <xf numFmtId="0" fontId="2" fillId="22" borderId="20" xfId="0" applyFont="1" applyFill="1" applyBorder="1" applyAlignment="1">
      <alignment vertical="center"/>
    </xf>
    <xf numFmtId="0" fontId="2" fillId="22" borderId="17" xfId="0" applyFont="1" applyFill="1" applyBorder="1" applyAlignment="1">
      <alignment horizontal="center" vertical="center"/>
    </xf>
    <xf numFmtId="187" fontId="1" fillId="25" borderId="18" xfId="0" applyNumberFormat="1" applyFont="1" applyFill="1" applyBorder="1" applyAlignment="1">
      <alignment horizontal="left" vertical="center"/>
    </xf>
    <xf numFmtId="0" fontId="2" fillId="25" borderId="18" xfId="0" applyFont="1" applyFill="1" applyBorder="1" applyAlignment="1">
      <alignment vertical="center"/>
    </xf>
    <xf numFmtId="0" fontId="2" fillId="25" borderId="20" xfId="0" applyFont="1" applyFill="1" applyBorder="1" applyAlignment="1">
      <alignment vertical="center"/>
    </xf>
    <xf numFmtId="0" fontId="2" fillId="25" borderId="17" xfId="0" applyFont="1" applyFill="1" applyBorder="1" applyAlignment="1">
      <alignment horizontal="center" vertical="center"/>
    </xf>
    <xf numFmtId="0" fontId="2" fillId="0" borderId="20" xfId="0" quotePrefix="1" applyFont="1" applyBorder="1" applyAlignment="1">
      <alignment vertical="center"/>
    </xf>
    <xf numFmtId="187" fontId="1" fillId="0" borderId="43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vertical="center"/>
    </xf>
    <xf numFmtId="187" fontId="1" fillId="0" borderId="44" xfId="0" applyNumberFormat="1" applyFont="1" applyBorder="1" applyAlignment="1">
      <alignment horizontal="left" vertical="center"/>
    </xf>
    <xf numFmtId="0" fontId="2" fillId="0" borderId="44" xfId="0" applyFont="1" applyBorder="1" applyAlignment="1">
      <alignment vertical="center"/>
    </xf>
    <xf numFmtId="0" fontId="2" fillId="0" borderId="45" xfId="0" applyFont="1" applyBorder="1" applyAlignment="1">
      <alignment vertical="center"/>
    </xf>
    <xf numFmtId="0" fontId="2" fillId="0" borderId="43" xfId="0" applyFont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right" vertical="center" wrapText="1"/>
    </xf>
    <xf numFmtId="189" fontId="2" fillId="4" borderId="46" xfId="0" applyNumberFormat="1" applyFont="1" applyFill="1" applyBorder="1" applyAlignment="1">
      <alignment horizontal="right" vertical="center" wrapText="1"/>
    </xf>
    <xf numFmtId="188" fontId="2" fillId="0" borderId="46" xfId="0" applyNumberFormat="1" applyFont="1" applyBorder="1" applyAlignment="1">
      <alignment horizontal="right" vertical="center" wrapText="1"/>
    </xf>
    <xf numFmtId="188" fontId="2" fillId="0" borderId="46" xfId="0" applyNumberFormat="1" applyFont="1" applyBorder="1" applyAlignment="1">
      <alignment vertical="center"/>
    </xf>
    <xf numFmtId="0" fontId="2" fillId="7" borderId="47" xfId="0" applyFont="1" applyFill="1" applyBorder="1" applyAlignment="1">
      <alignment horizontal="right" vertical="center"/>
    </xf>
    <xf numFmtId="0" fontId="2" fillId="7" borderId="47" xfId="0" quotePrefix="1" applyFont="1" applyFill="1" applyBorder="1" applyAlignment="1">
      <alignment vertical="center"/>
    </xf>
    <xf numFmtId="0" fontId="2" fillId="7" borderId="47" xfId="0" applyFont="1" applyFill="1" applyBorder="1" applyAlignment="1">
      <alignment vertical="center"/>
    </xf>
    <xf numFmtId="0" fontId="2" fillId="7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 wrapText="1"/>
    </xf>
    <xf numFmtId="189" fontId="2" fillId="4" borderId="47" xfId="0" applyNumberFormat="1" applyFont="1" applyFill="1" applyBorder="1" applyAlignment="1">
      <alignment horizontal="right" vertical="center"/>
    </xf>
    <xf numFmtId="0" fontId="2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 wrapText="1"/>
    </xf>
    <xf numFmtId="0" fontId="1" fillId="31" borderId="30" xfId="0" applyFont="1" applyFill="1" applyBorder="1" applyAlignment="1">
      <alignment vertical="center"/>
    </xf>
    <xf numFmtId="0" fontId="1" fillId="2" borderId="29" xfId="0" applyFont="1" applyFill="1" applyBorder="1" applyAlignment="1">
      <alignment vertical="center"/>
    </xf>
    <xf numFmtId="188" fontId="2" fillId="2" borderId="19" xfId="0" applyNumberFormat="1" applyFont="1" applyFill="1" applyBorder="1" applyAlignment="1">
      <alignment horizontal="center" vertical="center"/>
    </xf>
    <xf numFmtId="0" fontId="1" fillId="2" borderId="49" xfId="0" applyFont="1" applyFill="1" applyBorder="1" applyAlignment="1">
      <alignment vertical="center"/>
    </xf>
    <xf numFmtId="187" fontId="1" fillId="2" borderId="47" xfId="0" applyNumberFormat="1" applyFont="1" applyFill="1" applyBorder="1" applyAlignment="1">
      <alignment vertical="center"/>
    </xf>
    <xf numFmtId="0" fontId="1" fillId="2" borderId="47" xfId="0" applyFont="1" applyFill="1" applyBorder="1" applyAlignment="1">
      <alignment vertical="center"/>
    </xf>
    <xf numFmtId="0" fontId="1" fillId="0" borderId="44" xfId="0" applyFont="1" applyBorder="1" applyAlignment="1">
      <alignment vertical="center"/>
    </xf>
    <xf numFmtId="0" fontId="2" fillId="0" borderId="46" xfId="0" applyFont="1" applyBorder="1" applyAlignment="1">
      <alignment horizontal="center" vertical="center" wrapText="1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horizontal="center" vertical="center"/>
    </xf>
    <xf numFmtId="189" fontId="1" fillId="31" borderId="28" xfId="0" applyNumberFormat="1" applyFont="1" applyFill="1" applyBorder="1" applyAlignment="1">
      <alignment horizontal="center" vertical="center"/>
    </xf>
    <xf numFmtId="187" fontId="3" fillId="2" borderId="17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vertical="center"/>
    </xf>
    <xf numFmtId="187" fontId="3" fillId="2" borderId="18" xfId="0" applyNumberFormat="1" applyFont="1" applyFill="1" applyBorder="1" applyAlignment="1">
      <alignment horizontal="left" vertical="center"/>
    </xf>
    <xf numFmtId="0" fontId="19" fillId="2" borderId="18" xfId="0" quotePrefix="1" applyFont="1" applyFill="1" applyBorder="1" applyAlignment="1">
      <alignment vertical="center"/>
    </xf>
    <xf numFmtId="0" fontId="19" fillId="2" borderId="18" xfId="0" applyFont="1" applyFill="1" applyBorder="1" applyAlignment="1">
      <alignment vertical="center"/>
    </xf>
    <xf numFmtId="0" fontId="19" fillId="2" borderId="20" xfId="0" applyFont="1" applyFill="1" applyBorder="1" applyAlignment="1">
      <alignment vertical="center"/>
    </xf>
    <xf numFmtId="0" fontId="19" fillId="2" borderId="19" xfId="0" applyFont="1" applyFill="1" applyBorder="1" applyAlignment="1">
      <alignment horizontal="center" vertical="center" wrapText="1"/>
    </xf>
    <xf numFmtId="189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horizontal="right" vertical="center" wrapText="1"/>
    </xf>
    <xf numFmtId="188" fontId="19" fillId="2" borderId="19" xfId="0" applyNumberFormat="1" applyFont="1" applyFill="1" applyBorder="1" applyAlignment="1">
      <alignment vertical="center"/>
    </xf>
    <xf numFmtId="0" fontId="2" fillId="0" borderId="20" xfId="0" quotePrefix="1" applyFont="1" applyBorder="1" applyAlignment="1">
      <alignment horizontal="left" vertical="center"/>
    </xf>
    <xf numFmtId="0" fontId="1" fillId="10" borderId="29" xfId="0" applyFont="1" applyFill="1" applyBorder="1" applyAlignment="1">
      <alignment vertical="center"/>
    </xf>
    <xf numFmtId="0" fontId="1" fillId="10" borderId="30" xfId="0" applyFont="1" applyFill="1" applyBorder="1" applyAlignment="1">
      <alignment vertical="center"/>
    </xf>
    <xf numFmtId="0" fontId="1" fillId="10" borderId="31" xfId="0" applyFont="1" applyFill="1" applyBorder="1" applyAlignment="1">
      <alignment vertical="center"/>
    </xf>
    <xf numFmtId="0" fontId="1" fillId="10" borderId="19" xfId="0" applyFont="1" applyFill="1" applyBorder="1" applyAlignment="1">
      <alignment horizontal="left" vertical="center"/>
    </xf>
    <xf numFmtId="189" fontId="1" fillId="10" borderId="19" xfId="0" applyNumberFormat="1" applyFont="1" applyFill="1" applyBorder="1" applyAlignment="1">
      <alignment horizontal="left" vertical="center"/>
    </xf>
    <xf numFmtId="188" fontId="1" fillId="10" borderId="19" xfId="0" applyNumberFormat="1" applyFont="1" applyFill="1" applyBorder="1" applyAlignment="1">
      <alignment horizontal="left" vertical="center"/>
    </xf>
    <xf numFmtId="188" fontId="2" fillId="10" borderId="19" xfId="0" applyNumberFormat="1" applyFont="1" applyFill="1" applyBorder="1" applyAlignment="1">
      <alignment vertical="center"/>
    </xf>
    <xf numFmtId="0" fontId="2" fillId="2" borderId="30" xfId="0" applyFont="1" applyFill="1" applyBorder="1" applyAlignment="1">
      <alignment vertical="center"/>
    </xf>
    <xf numFmtId="0" fontId="2" fillId="2" borderId="19" xfId="0" applyFont="1" applyFill="1" applyBorder="1" applyAlignment="1">
      <alignment horizontal="center" vertical="center"/>
    </xf>
    <xf numFmtId="0" fontId="2" fillId="2" borderId="47" xfId="0" applyFont="1" applyFill="1" applyBorder="1" applyAlignment="1">
      <alignment vertical="center"/>
    </xf>
    <xf numFmtId="0" fontId="2" fillId="2" borderId="48" xfId="0" applyFont="1" applyFill="1" applyBorder="1" applyAlignment="1">
      <alignment vertical="center"/>
    </xf>
    <xf numFmtId="0" fontId="2" fillId="2" borderId="46" xfId="0" applyFont="1" applyFill="1" applyBorder="1" applyAlignment="1">
      <alignment horizontal="center" vertical="center"/>
    </xf>
    <xf numFmtId="189" fontId="2" fillId="2" borderId="46" xfId="0" applyNumberFormat="1" applyFont="1" applyFill="1" applyBorder="1" applyAlignment="1">
      <alignment horizontal="center" vertical="center"/>
    </xf>
    <xf numFmtId="188" fontId="2" fillId="2" borderId="46" xfId="0" applyNumberFormat="1" applyFont="1" applyFill="1" applyBorder="1" applyAlignment="1">
      <alignment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Alignment="1">
      <alignment horizontal="center" vertical="center"/>
    </xf>
    <xf numFmtId="188" fontId="2" fillId="0" borderId="0" xfId="0" applyNumberFormat="1" applyFont="1" applyAlignment="1">
      <alignment horizontal="center" vertical="center"/>
    </xf>
    <xf numFmtId="191" fontId="2" fillId="0" borderId="0" xfId="0" applyNumberFormat="1" applyFont="1" applyAlignment="1">
      <alignment horizontal="center" vertical="center"/>
    </xf>
    <xf numFmtId="188" fontId="2" fillId="0" borderId="0" xfId="0" applyNumberFormat="1" applyFont="1" applyAlignment="1">
      <alignment vertical="center"/>
    </xf>
    <xf numFmtId="188" fontId="1" fillId="10" borderId="19" xfId="0" applyNumberFormat="1" applyFont="1" applyFill="1" applyBorder="1" applyAlignment="1">
      <alignment vertical="center"/>
    </xf>
    <xf numFmtId="0" fontId="7" fillId="2" borderId="18" xfId="0" applyFont="1" applyFill="1" applyBorder="1" applyAlignment="1">
      <alignment horizontal="left"/>
    </xf>
    <xf numFmtId="0" fontId="4" fillId="0" borderId="18" xfId="0" applyFont="1" applyBorder="1"/>
    <xf numFmtId="0" fontId="10" fillId="15" borderId="18" xfId="0" applyFont="1" applyFill="1" applyBorder="1" applyAlignment="1">
      <alignment horizontal="left"/>
    </xf>
    <xf numFmtId="0" fontId="13" fillId="2" borderId="14" xfId="0" applyFont="1" applyFill="1" applyBorder="1" applyAlignment="1">
      <alignment horizontal="left"/>
    </xf>
    <xf numFmtId="0" fontId="4" fillId="0" borderId="14" xfId="0" applyFont="1" applyBorder="1"/>
    <xf numFmtId="0" fontId="1" fillId="0" borderId="0" xfId="0" applyFont="1" applyAlignment="1">
      <alignment horizontal="center" vertical="center"/>
    </xf>
    <xf numFmtId="0" fontId="3" fillId="3" borderId="4" xfId="0" applyFont="1" applyFill="1" applyBorder="1" applyAlignment="1">
      <alignment horizontal="center" vertical="center"/>
    </xf>
    <xf numFmtId="0" fontId="4" fillId="0" borderId="11" xfId="0" applyFont="1" applyBorder="1"/>
    <xf numFmtId="0" fontId="1" fillId="4" borderId="5" xfId="0" applyFont="1" applyFill="1" applyBorder="1" applyAlignment="1">
      <alignment horizontal="center" vertical="center"/>
    </xf>
    <xf numFmtId="0" fontId="4" fillId="0" borderId="6" xfId="0" applyFont="1" applyBorder="1"/>
    <xf numFmtId="0" fontId="4" fillId="0" borderId="7" xfId="0" applyFont="1" applyBorder="1"/>
    <xf numFmtId="188" fontId="1" fillId="5" borderId="5" xfId="0" applyNumberFormat="1" applyFont="1" applyFill="1" applyBorder="1" applyAlignment="1">
      <alignment horizontal="center" vertical="center" wrapText="1"/>
    </xf>
    <xf numFmtId="188" fontId="1" fillId="6" borderId="5" xfId="0" applyNumberFormat="1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0" fontId="4" fillId="0" borderId="2" xfId="0" applyFont="1" applyBorder="1"/>
    <xf numFmtId="0" fontId="4" fillId="0" borderId="3" xfId="0" applyFont="1" applyBorder="1"/>
    <xf numFmtId="0" fontId="4" fillId="0" borderId="8" xfId="0" applyFont="1" applyBorder="1"/>
    <xf numFmtId="0" fontId="4" fillId="0" borderId="9" xfId="0" applyFont="1" applyBorder="1"/>
    <xf numFmtId="0" fontId="4" fillId="0" borderId="10" xfId="0" applyFont="1" applyBorder="1"/>
    <xf numFmtId="0" fontId="5" fillId="8" borderId="5" xfId="0" applyFont="1" applyFill="1" applyBorder="1" applyAlignment="1">
      <alignment horizontal="left"/>
    </xf>
    <xf numFmtId="0" fontId="6" fillId="9" borderId="14" xfId="0" applyFont="1" applyFill="1" applyBorder="1" applyAlignment="1">
      <alignment horizontal="left"/>
    </xf>
    <xf numFmtId="0" fontId="5" fillId="11" borderId="5" xfId="0" applyFont="1" applyFill="1" applyBorder="1" applyAlignment="1">
      <alignment horizontal="left"/>
    </xf>
    <xf numFmtId="0" fontId="5" fillId="12" borderId="14" xfId="0" applyFont="1" applyFill="1" applyBorder="1" applyAlignment="1">
      <alignment horizontal="left"/>
    </xf>
    <xf numFmtId="0" fontId="9" fillId="14" borderId="18" xfId="0" applyFont="1" applyFill="1" applyBorder="1" applyAlignment="1">
      <alignment horizontal="left"/>
    </xf>
    <xf numFmtId="0" fontId="1" fillId="18" borderId="18" xfId="0" applyFont="1" applyFill="1" applyBorder="1" applyAlignment="1">
      <alignment horizontal="left"/>
    </xf>
    <xf numFmtId="0" fontId="12" fillId="19" borderId="18" xfId="0" applyFont="1" applyFill="1" applyBorder="1" applyAlignment="1">
      <alignment horizontal="left"/>
    </xf>
  </cellXfs>
  <cellStyles count="1">
    <cellStyle name="ปกติ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FF"/>
    <pageSetUpPr fitToPage="1"/>
  </sheetPr>
  <dimension ref="A1:P1143"/>
  <sheetViews>
    <sheetView tabSelected="1" view="pageBreakPreview" zoomScale="60" zoomScaleNormal="100" workbookViewId="0">
      <pane ySplit="6" topLeftCell="A7" activePane="bottomLeft" state="frozen"/>
      <selection pane="bottomLeft" activeCell="A5" sqref="A5:G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5.36328125" bestFit="1" customWidth="1"/>
    <col min="10" max="10" width="13.90625" bestFit="1" customWidth="1"/>
    <col min="11" max="11" width="10.26953125" bestFit="1" customWidth="1"/>
    <col min="12" max="14" width="19.363281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1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62990787.100000001</v>
      </c>
      <c r="M8" s="23">
        <f t="shared" ca="1" si="0"/>
        <v>37386980.200000003</v>
      </c>
      <c r="N8" s="23">
        <f t="shared" ca="1" si="0"/>
        <v>29057313.639999993</v>
      </c>
      <c r="O8" s="22">
        <f t="shared" ref="O8:O16" ca="1" si="1">IF(L8&gt;0,N8*100/L8,0)</f>
        <v>46.129465875494667</v>
      </c>
      <c r="P8" s="22">
        <f t="shared" ref="P8:P16" ca="1" si="2">IF(M8&gt;0,N8*100/M8,0)</f>
        <v>77.720408239871674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62990787.100000001</v>
      </c>
      <c r="M10" s="30">
        <f t="shared" ca="1" si="4"/>
        <v>37386980.200000003</v>
      </c>
      <c r="N10" s="30">
        <f t="shared" ca="1" si="4"/>
        <v>29057313.639999993</v>
      </c>
      <c r="O10" s="29">
        <f t="shared" ca="1" si="1"/>
        <v>46.129465875494667</v>
      </c>
      <c r="P10" s="29">
        <f t="shared" ca="1" si="2"/>
        <v>77.720408239871674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52256517.100000001</v>
      </c>
      <c r="M12" s="38">
        <f t="shared" ca="1" si="6"/>
        <v>27659710.199999999</v>
      </c>
      <c r="N12" s="38">
        <f t="shared" ca="1" si="6"/>
        <v>25279043.639999993</v>
      </c>
      <c r="O12" s="38">
        <f t="shared" ca="1" si="1"/>
        <v>48.374911002248929</v>
      </c>
      <c r="P12" s="38">
        <f t="shared" ca="1" si="2"/>
        <v>91.393016981067277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23850900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28405617.100000001</v>
      </c>
      <c r="M14" s="38">
        <f t="shared" si="8"/>
        <v>0</v>
      </c>
      <c r="N14" s="38">
        <f t="shared" ca="1" si="8"/>
        <v>6519669.8799999971</v>
      </c>
      <c r="O14" s="41">
        <f t="shared" ca="1" si="1"/>
        <v>22.952044509534691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10734270</v>
      </c>
      <c r="M16" s="38">
        <f t="shared" ca="1" si="10"/>
        <v>9727270</v>
      </c>
      <c r="N16" s="38">
        <f t="shared" ca="1" si="10"/>
        <v>3778270</v>
      </c>
      <c r="O16" s="50">
        <f t="shared" ca="1" si="1"/>
        <v>35.198201647620195</v>
      </c>
      <c r="P16" s="50">
        <f t="shared" ca="1" si="2"/>
        <v>38.842038927674466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44678395</v>
      </c>
      <c r="M18" s="23">
        <f t="shared" ca="1" si="11"/>
        <v>37386980.200000003</v>
      </c>
      <c r="N18" s="23">
        <f t="shared" ca="1" si="11"/>
        <v>22434643.759999998</v>
      </c>
      <c r="O18" s="22">
        <f t="shared" ref="O18:O26" ca="1" si="12">IF(L18&gt;0,N18*100/L18,0)</f>
        <v>50.213629563013619</v>
      </c>
      <c r="P18" s="22">
        <f t="shared" ref="P18:P26" ca="1" si="13">IF(M18&gt;0,N18*100/M18,0)</f>
        <v>60.006568168883561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44678395</v>
      </c>
      <c r="M20" s="30">
        <f t="shared" ca="1" si="15"/>
        <v>37386980.200000003</v>
      </c>
      <c r="N20" s="30">
        <f t="shared" ca="1" si="15"/>
        <v>22434643.759999998</v>
      </c>
      <c r="O20" s="29">
        <f t="shared" ca="1" si="12"/>
        <v>50.213629563013619</v>
      </c>
      <c r="P20" s="29">
        <f t="shared" ca="1" si="13"/>
        <v>60.006568168883561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si="12"/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7">L45+L57+L70+L98+L122+L144+L224+L254+L275+L294+L314+L333</f>
        <v>34951125</v>
      </c>
      <c r="M22" s="42">
        <f t="shared" ca="1" si="17"/>
        <v>27659710.199999999</v>
      </c>
      <c r="N22" s="41">
        <f t="shared" ca="1" si="17"/>
        <v>18759373.759999998</v>
      </c>
      <c r="O22" s="41">
        <f t="shared" ca="1" si="12"/>
        <v>53.673161479065399</v>
      </c>
      <c r="P22" s="41">
        <f t="shared" ca="1" si="13"/>
        <v>67.822018467857987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8">L46+L58+L71+L99+L123+L145+L225+L255+L276+L295+L315+L334</f>
        <v>23850900</v>
      </c>
      <c r="M23" s="42">
        <f t="shared" si="18"/>
        <v>0</v>
      </c>
      <c r="N23" s="41">
        <f t="shared" si="18"/>
        <v>0</v>
      </c>
      <c r="O23" s="41">
        <f t="shared" ca="1" si="12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19">L47+L59+L72+L100+L124+L146+L226+L256+L277+L296+L316+L335</f>
        <v>11100225</v>
      </c>
      <c r="M24" s="42">
        <f t="shared" si="19"/>
        <v>0</v>
      </c>
      <c r="N24" s="41">
        <f t="shared" si="19"/>
        <v>0</v>
      </c>
      <c r="O24" s="41">
        <f t="shared" ca="1" si="12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0">L48+L60+L73+L101+L125+L147+L227+L257+L278+L297+L317+L336</f>
        <v>0</v>
      </c>
      <c r="M25" s="42">
        <f t="shared" si="20"/>
        <v>0</v>
      </c>
      <c r="N25" s="42">
        <f t="shared" si="20"/>
        <v>0</v>
      </c>
      <c r="O25" s="42">
        <f t="shared" si="12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1">L49+L61+L74+L102+L126+L148+L228+L258+L279+L298+L318+L337</f>
        <v>9727270</v>
      </c>
      <c r="M26" s="50">
        <f t="shared" ca="1" si="21"/>
        <v>9727270</v>
      </c>
      <c r="N26" s="50">
        <f t="shared" ca="1" si="21"/>
        <v>3675270</v>
      </c>
      <c r="O26" s="50">
        <f t="shared" ca="1" si="12"/>
        <v>37.783160126119661</v>
      </c>
      <c r="P26" s="50">
        <f t="shared" ca="1" si="13"/>
        <v>37.783160126119661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2">L29+L30</f>
        <v>18312392.100000001</v>
      </c>
      <c r="M28" s="23">
        <f t="shared" si="22"/>
        <v>0</v>
      </c>
      <c r="N28" s="23">
        <f t="shared" ca="1" si="22"/>
        <v>6622669.8799999971</v>
      </c>
      <c r="O28" s="22">
        <f t="shared" ref="O28:O30" ca="1" si="23">IF(L28&gt;0,N28*100/L28,0)</f>
        <v>36.164963287346808</v>
      </c>
      <c r="P28" s="22">
        <f t="shared" ref="P28:P37" si="24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5">L31+L35</f>
        <v>0</v>
      </c>
      <c r="M29" s="30">
        <f t="shared" si="25"/>
        <v>0</v>
      </c>
      <c r="N29" s="30">
        <f t="shared" ca="1" si="25"/>
        <v>0</v>
      </c>
      <c r="O29" s="29">
        <f t="shared" ca="1" si="23"/>
        <v>0</v>
      </c>
      <c r="P29" s="29">
        <f t="shared" si="24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6">L32+L36</f>
        <v>18312392.100000001</v>
      </c>
      <c r="M30" s="30">
        <f t="shared" si="26"/>
        <v>0</v>
      </c>
      <c r="N30" s="30">
        <f t="shared" ca="1" si="26"/>
        <v>6622669.8799999971</v>
      </c>
      <c r="O30" s="29">
        <f t="shared" ca="1" si="23"/>
        <v>36.164963287346808</v>
      </c>
      <c r="P30" s="29">
        <f t="shared" si="24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7">L351+L382+L403+L436+L456+L534+L552+L565+L581+L598</f>
        <v>0</v>
      </c>
      <c r="M31" s="41">
        <f t="shared" si="27"/>
        <v>0</v>
      </c>
      <c r="N31" s="41">
        <f t="shared" ca="1" si="27"/>
        <v>0</v>
      </c>
      <c r="O31" s="41">
        <f t="shared" ref="O31:O37" ca="1" si="28">IF(L31&gt;0,N31*100/L31,0)</f>
        <v>0</v>
      </c>
      <c r="P31" s="41">
        <f t="shared" si="24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L352+L383+L404+L437+L457+L535+L553+L566+L582+L599-103000-904000</f>
        <v>17305392.100000001</v>
      </c>
      <c r="M32" s="41">
        <f>M352+M383+M404+M437+M457+M535+M553+M566+M582+M599</f>
        <v>0</v>
      </c>
      <c r="N32" s="41">
        <f ca="1">N352+N383+N404+N437+N457+N535+N553+N566+N582+N599-103000</f>
        <v>6519669.8799999971</v>
      </c>
      <c r="O32" s="41">
        <f t="shared" ca="1" si="28"/>
        <v>37.674210687199611</v>
      </c>
      <c r="P32" s="41">
        <f t="shared" si="24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29">L353+L384+L405+L438+L458+L536+L554+L567+L583+L600</f>
        <v>0</v>
      </c>
      <c r="M33" s="41">
        <f t="shared" si="29"/>
        <v>0</v>
      </c>
      <c r="N33" s="41">
        <f t="shared" ca="1" si="29"/>
        <v>0</v>
      </c>
      <c r="O33" s="41">
        <f t="shared" ca="1" si="28"/>
        <v>0</v>
      </c>
      <c r="P33" s="41">
        <f t="shared" si="24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0">L354+L385+L406+L439+L459+L537+L555+L568+L584+L601</f>
        <v>17305392.100000001</v>
      </c>
      <c r="M34" s="41">
        <f t="shared" si="30"/>
        <v>0</v>
      </c>
      <c r="N34" s="41">
        <f t="shared" ca="1" si="30"/>
        <v>6519669.8799999971</v>
      </c>
      <c r="O34" s="41">
        <f t="shared" ca="1" si="28"/>
        <v>37.674210687199611</v>
      </c>
      <c r="P34" s="41">
        <f t="shared" si="24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8"/>
        <v>0</v>
      </c>
      <c r="P35" s="42">
        <f t="shared" si="24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f>กระบี่!L36+ชุมพร!L36+ตรัง!L36+นครศรีธรรมราช!L36+นราธิวาส!L36+ปัตตานี!L36+พังงา!L36+พัทลุง!L36+ภูเก็ต!L36+ยะลา!L36+ระนอง!L36+สงขลา!L36+สตูล!L36+สุราษฎร์ธานี!L36</f>
        <v>1007000</v>
      </c>
      <c r="M36" s="52">
        <v>0</v>
      </c>
      <c r="N36" s="52">
        <f>กระบี่!N36+ชุมพร!N36+ตรัง!N36+นครศรีธรรมราช!N36+นราธิวาส!N36+ปัตตานี!N36+พังงา!N36+พัทลุง!N36+ภูเก็ต!N36+ยะลา!N36+ระนอง!N36+สงขลา!N36+สตูล!N36+สุราษฎร์ธานี!N36</f>
        <v>103000</v>
      </c>
      <c r="O36" s="50">
        <f t="shared" si="28"/>
        <v>10.228401191658392</v>
      </c>
      <c r="P36" s="50">
        <f t="shared" si="24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1">L41+L53+L66+L94+L118+L140+L220+L250+L271+L290+L310+L329</f>
        <v>44678395</v>
      </c>
      <c r="M37" s="55">
        <f t="shared" ca="1" si="31"/>
        <v>37386980.200000003</v>
      </c>
      <c r="N37" s="55">
        <f t="shared" ca="1" si="31"/>
        <v>22434643.759999998</v>
      </c>
      <c r="O37" s="56">
        <f t="shared" ca="1" si="28"/>
        <v>50.213629563013619</v>
      </c>
      <c r="P37" s="56">
        <f t="shared" ca="1" si="24"/>
        <v>60.006568168883561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2">L42+L43</f>
        <v>10385600</v>
      </c>
      <c r="M41" s="79">
        <f t="shared" ca="1" si="32"/>
        <v>8238400</v>
      </c>
      <c r="N41" s="79">
        <f t="shared" ca="1" si="32"/>
        <v>6680661.21</v>
      </c>
      <c r="O41" s="78">
        <f t="shared" ref="O41:O43" ca="1" si="33">IF(L41&gt;0,N41*100/L41,0)</f>
        <v>64.326194057156059</v>
      </c>
      <c r="P41" s="78">
        <f t="shared" ref="P41:P43" ca="1" si="34">IF(M41&gt;0,N41*100/M41,0)</f>
        <v>81.091731525538933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5">L44+L48</f>
        <v>0</v>
      </c>
      <c r="M42" s="79">
        <f t="shared" si="35"/>
        <v>0</v>
      </c>
      <c r="N42" s="79">
        <f t="shared" si="35"/>
        <v>0</v>
      </c>
      <c r="O42" s="78">
        <f t="shared" si="33"/>
        <v>0</v>
      </c>
      <c r="P42" s="78">
        <f t="shared" si="34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6">L45+L49</f>
        <v>10385600</v>
      </c>
      <c r="M43" s="79">
        <f t="shared" ca="1" si="36"/>
        <v>8238400</v>
      </c>
      <c r="N43" s="79">
        <f t="shared" ca="1" si="36"/>
        <v>6680661.21</v>
      </c>
      <c r="O43" s="78">
        <f t="shared" ca="1" si="33"/>
        <v>64.326194057156059</v>
      </c>
      <c r="P43" s="78">
        <f t="shared" ca="1" si="34"/>
        <v>81.091731525538933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f>กระบี่!L44+ชุมพร!L44+ตรัง!L44+นครศรีธรรมราช!L44+นราธิวาส!L44+ปัตตานี!L44+พังงา!L44+พัทลุง!L44+ภูเก็ต!L44+ยะลา!L44+ระนอง!L44+สงขลา!L44+สตูล!L44+สุราษฎร์ธานี!L44</f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กระบี่!L45+ชุมพร!L45+ตรัง!L45+นครศรีธรรมราช!L45+นราธิวาส!L45+ปัตตานี!L45+พังงา!L45+พัทลุง!L45+ภูเก็ต!L45+ยะลา!L45+ระนอง!L45+สงขลา!L45+สตูล!L45+สุราษฎร์ธานี!L45</f>
        <v>8774300</v>
      </c>
      <c r="M45" s="91">
        <f ca="1">กระบี่!M45+ชุมพร!M45+ตรัง!M45+นครศรีธรรมราช!M45+นราธิวาส!M45+ปัตตานี!M45+พังงา!M45+พัทลุง!M45+ภูเก็ต!M45+ยะลา!M45+ระนอง!M45+สงขลา!M45+สตูล!M45+สุราษฎร์ธานี!M45</f>
        <v>6627100</v>
      </c>
      <c r="N45" s="91">
        <f ca="1">กระบี่!N45+ชุมพร!N45+ตรัง!N45+นครศรีธรรมราช!N45+นราธิวาส!N45+ปัตตานี!N45+พังงา!N45+พัทลุง!N45+ภูเก็ต!N45+ยะลา!N45+ระนอง!N45+สงขลา!N45+สตูล!N45+สุราษฎร์ธานี!N45</f>
        <v>5071361.21</v>
      </c>
      <c r="O45" s="92">
        <f ca="1">IF(L45&gt;0,N45*100/L45,0)</f>
        <v>57.797900801203518</v>
      </c>
      <c r="P45" s="92">
        <f ca="1">IF(M45&gt;0,N45*100/M45,0)</f>
        <v>76.524591601152835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กระบี่!L46+ชุมพร!L46+ตรัง!L46+นครศรีธรรมราช!L46+นราธิวาส!L46+ปัตตานี!L46+พังงา!L46+พัทลุง!L46+ภูเก็ต!L46+ยะลา!L46+ระนอง!L46+สงขลา!L46+สตูล!L46+สุราษฎร์ธานี!L46</f>
        <v>8774300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กระบี่!L47+ชุมพร!L47+ตรัง!L47+นครศรีธรรมราช!L47+นราธิวาส!L47+ปัตตานี!L47+พังงา!L47+พัทลุง!L47+ภูเก็ต!L47+ยะลา!L47+ระนอง!L47+สงขลา!L47+สตูล!L47+สุราษฎร์ธานี!L47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f>กระบี่!L48+ชุมพร!L48+ตรัง!L48+นครศรีธรรมราช!L48+นราธิวาส!L48+ปัตตานี!L48+พังงา!L48+พัทลุง!L48+ภูเก็ต!L48+ยะลา!L48+ระนอง!L48+สงขลา!L48+สตูล!L48+สุราษฎร์ธานี!L48</f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กระบี่!L49+ชุมพร!L49+ตรัง!L49+นครศรีธรรมราช!L49+นราธิวาส!L49+ปัตตานี!L49+พังงา!L49+พัทลุง!L49+ภูเก็ต!L49+ยะลา!L49+ระนอง!L49+สงขลา!L49+สตูล!L49+สุราษฎร์ธานี!L49</f>
        <v>1611300</v>
      </c>
      <c r="M49" s="101">
        <f ca="1">กระบี่!M49+ชุมพร!M49+ตรัง!M49+นครศรีธรรมราช!M49+นราธิวาส!M49+ปัตตานี!M49+พังงา!M49+พัทลุง!M49+ภูเก็ต!M49+ยะลา!M49+ระนอง!M49+สงขลา!M49+สตูล!M49+สุราษฎร์ธานี!M49</f>
        <v>1611300</v>
      </c>
      <c r="N49" s="91">
        <f ca="1">กระบี่!N49+ชุมพร!N49+ตรัง!N49+นครศรีธรรมราช!N49+นราธิวาส!N49+ปัตตานี!N49+พังงา!N49+พัทลุง!N49+ภูเก็ต!N49+ยะลา!N49+ระนอง!N49+สงขลา!N49+สตูล!N49+สุราษฎร์ธานี!N49</f>
        <v>1609300</v>
      </c>
      <c r="O49" s="101">
        <f ca="1">IF(L49&gt;0,N49*100/L49,0)</f>
        <v>99.875876621361627</v>
      </c>
      <c r="P49" s="101">
        <f ca="1">IF(M49&gt;0,N49*100/M49,0)</f>
        <v>99.875876621361627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7">L54+L55</f>
        <v>5554200</v>
      </c>
      <c r="M53" s="125">
        <f t="shared" ca="1" si="37"/>
        <v>4673135.1999999993</v>
      </c>
      <c r="N53" s="125">
        <f t="shared" ca="1" si="37"/>
        <v>3490891.1</v>
      </c>
      <c r="O53" s="124">
        <f t="shared" ref="O53:O55" ca="1" si="38">IF(L53&gt;0,N53*100/L53,0)</f>
        <v>62.851375535630694</v>
      </c>
      <c r="P53" s="124">
        <f t="shared" ref="P53:P55" ca="1" si="39">IF(M53&gt;0,N53*100/M53,0)</f>
        <v>74.701264795420443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0">L56+L60</f>
        <v>0</v>
      </c>
      <c r="M54" s="125">
        <f t="shared" si="40"/>
        <v>0</v>
      </c>
      <c r="N54" s="125">
        <f t="shared" si="40"/>
        <v>0</v>
      </c>
      <c r="O54" s="124">
        <f t="shared" si="38"/>
        <v>0</v>
      </c>
      <c r="P54" s="124">
        <f t="shared" si="39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1">L57+L61</f>
        <v>5554200</v>
      </c>
      <c r="M55" s="125">
        <f t="shared" ca="1" si="41"/>
        <v>4673135.1999999993</v>
      </c>
      <c r="N55" s="125">
        <f t="shared" ca="1" si="41"/>
        <v>3490891.1</v>
      </c>
      <c r="O55" s="124">
        <f t="shared" ca="1" si="38"/>
        <v>62.851375535630694</v>
      </c>
      <c r="P55" s="124">
        <f t="shared" ca="1" si="39"/>
        <v>74.701264795420443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f>กระบี่!L56+ชุมพร!L56+ตรัง!L56+นครศรีธรรมราช!L56+นราธิวาส!L56+ปัตตานี!L56+พังงา!L56+พัทลุง!L56+ภูเก็ต!L56+ยะลา!L56+ระนอง!L56+สงขลา!L56+สตูล!L56+สุราษฎร์ธานี!L56</f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กระบี่!L57+ชุมพร!L57+ตรัง!L57+นครศรีธรรมราช!L57+นราธิวาส!L57+ปัตตานี!L57+พังงา!L57+พัทลุง!L57+ภูเก็ต!L57+ยะลา!L57+ระนอง!L57+สงขลา!L57+สตูล!L57+สุราษฎร์ธานี!L57</f>
        <v>5554200</v>
      </c>
      <c r="M57" s="91">
        <f ca="1">กระบี่!M57+ชุมพร!M57+ตรัง!M57+นครศรีธรรมราช!M57+นราธิวาส!M57+ปัตตานี!M57+พังงา!M57+พัทลุง!M57+ภูเก็ต!M57+ยะลา!M57+ระนอง!M57+สงขลา!M57+สตูล!M57+สุราษฎร์ธานี!M57</f>
        <v>4673135.1999999993</v>
      </c>
      <c r="N57" s="91">
        <f ca="1">กระบี่!N57+ชุมพร!N57+ตรัง!N57+นครศรีธรรมราช!N57+นราธิวาส!N57+ปัตตานี!N57+พังงา!N57+พัทลุง!N57+ภูเก็ต!N57+ยะลา!N57+ระนอง!N57+สงขลา!N57+สตูล!N57+สุราษฎร์ธานี!N57</f>
        <v>3490891.1</v>
      </c>
      <c r="O57" s="92">
        <f ca="1">IF(L57&gt;0,N57*100/L57,0)</f>
        <v>62.851375535630694</v>
      </c>
      <c r="P57" s="92">
        <f ca="1">IF(M57&gt;0,N57*100/M57,0)</f>
        <v>74.701264795420443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กระบี่!L58+ชุมพร!L58+ตรัง!L58+นครศรีธรรมราช!L58+นราธิวาส!L58+ปัตตานี!L58+พังงา!L58+พัทลุง!L58+ภูเก็ต!L58+ยะลา!L58+ระนอง!L58+สงขลา!L58+สตูล!L58+สุราษฎร์ธานี!L58</f>
        <v>5554200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กระบี่!L59+ชุมพร!L59+ตรัง!L59+นครศรีธรรมราช!L59+นราธิวาส!L59+ปัตตานี!L59+พังงา!L59+พัทลุง!L59+ภูเก็ต!L59+ยะลา!L59+ระนอง!L59+สงขลา!L59+สตูล!L59+สุราษฎร์ธานี!L59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f>กระบี่!L60+ชุมพร!L60+ตรัง!L60+นครศรีธรรมราช!L60+นราธิวาส!L60+ปัตตานี!L60+พังงา!L60+พัทลุง!L60+ภูเก็ต!L60+ยะลา!L60+ระนอง!L60+สงขลา!L60+สตูล!L60+สุราษฎร์ธานี!L60</f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กระบี่!L61+ชุมพร!L61+ตรัง!L61+นครศรีธรรมราช!L61+นราธิวาส!L61+ปัตตานี!L61+พังงา!L61+พัทลุง!L61+ภูเก็ต!L61+ยะลา!L61+ระนอง!L61+สงขลา!L61+สตูล!L61+สุราษฎร์ธานี!L61</f>
        <v>0</v>
      </c>
      <c r="M61" s="101"/>
      <c r="N61" s="91">
        <f ca="1">กระบี่!N61+ชุมพร!N61+ตรัง!N61+นครศรีธรรมราช!N61+นราธิวาส!N61+ปัตตานี!N61+พังงา!N61+พัทลุง!N61+ภูเก็ต!N61+ยะลา!N61+ระนอง!N61+สงขลา!N61+สตูล!N61+สุราษฎร์ธานี!N61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กระบี่!I64+ชุมพร!I64+ตรัง!I64+นครศรีธรรมราช!I64+นราธิวาส!I64+ปัตตานี!I64+พังงา!I64+พัทลุง!I64+ภูเก็ต!I64+ยะลา!I64+ระนอง!I64+สงขลา!I64+สตูล!I64+สุราษฎร์ธานี!I64</f>
        <v>4</v>
      </c>
      <c r="J64" s="146">
        <f ca="1">กระบี่!J64+ชุมพร!J64+ตรัง!J64+นครศรีธรรมราช!J64+นราธิวาส!J64+ปัตตานี!J64+พังงา!J64+พัทลุง!J64+ภูเก็ต!J64+ยะลา!J64+ระนอง!J64+สงขลา!J64+สตูล!J64+สุราษฎร์ธานี!J64</f>
        <v>4</v>
      </c>
      <c r="K64" s="147">
        <f t="shared" ref="K64:K65" ca="1" si="42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กระบี่!I65+ชุมพร!I65+ตรัง!I65+นครศรีธรรมราช!I65+นราธิวาส!I65+ปัตตานี!I65+พังงา!I65+พัทลุง!I65+ภูเก็ต!I65+ยะลา!I65+ระนอง!I65+สงขลา!I65+สตูล!I65+สุราษฎร์ธานี!I65</f>
        <v>130</v>
      </c>
      <c r="J65" s="146">
        <f ca="1">กระบี่!J65+ชุมพร!J65+ตรัง!J65+นครศรีธรรมราช!J65+นราธิวาส!J65+ปัตตานี!J65+พังงา!J65+พัทลุง!J65+ภูเก็ต!J65+ยะลา!J65+ระนอง!J65+สงขลา!J65+สตูล!J65+สุราษฎร์ธานี!J65</f>
        <v>130</v>
      </c>
      <c r="K65" s="147">
        <f t="shared" ca="1" si="42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ca="1">กระบี่!L66+ชุมพร!L66+ตรัง!L66+นครศรีธรรมราช!L66+นราธิวาส!L66+ปัตตานี!L66+พังงา!L66+พัทลุง!L66+ภูเก็ต!L66+ยะลา!L66+ระนอง!L66+สงขลา!L66+สตูล!L66+สุราษฎร์ธานี!L66</f>
        <v>2053200</v>
      </c>
      <c r="M66" s="156">
        <f ca="1">กระบี่!M66+ชุมพร!M66+ตรัง!M66+นครศรีธรรมราช!M66+นราธิวาส!M66+ปัตตานี!M66+พังงา!M66+พัทลุง!M66+ภูเก็ต!M66+ยะลา!M66+ระนอง!M66+สงขลา!M66+สตูล!M66+สุราษฎร์ธานี!M66</f>
        <v>1679740</v>
      </c>
      <c r="N66" s="156">
        <f ca="1">กระบี่!N66+ชุมพร!N66+ตรัง!N66+นครศรีธรรมราช!N66+นราธิวาส!N66+ปัตตานี!N66+พังงา!N66+พัทลุง!N66+ภูเก็ต!N66+ยะลา!N66+ระนอง!N66+สงขลา!N66+สตูล!N66+สุราษฎร์ธานี!N66</f>
        <v>868544.52999999991</v>
      </c>
      <c r="O66" s="155">
        <f t="shared" ref="O66:O68" ca="1" si="43">IF(L66&gt;0,N66*100/L66,0)</f>
        <v>42.301993473602174</v>
      </c>
      <c r="P66" s="155">
        <f t="shared" ref="P66:P68" ca="1" si="44">IF(M66&gt;0,N66*100/M66,0)</f>
        <v>51.707081453082019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>กระบี่!L67+ชุมพร!L67+ตรัง!L67+นครศรีธรรมราช!L67+นราธิวาส!L67+ปัตตานี!L67+พังงา!L67+พัทลุง!L67+ภูเก็ต!L67+ยะลา!L67+ระนอง!L67+สงขลา!L67+สตูล!L67+สุราษฎร์ธานี!L67</f>
        <v>0</v>
      </c>
      <c r="M67" s="161">
        <f>กระบี่!M67+ชุมพร!M67+ตรัง!M67+นครศรีธรรมราช!M67+นราธิวาส!M67+ปัตตานี!M67+พังงา!M67+พัทลุง!M67+ภูเก็ต!M67+ยะลา!M67+ระนอง!M67+สงขลา!M67+สตูล!M67+สุราษฎร์ธานี!M67</f>
        <v>0</v>
      </c>
      <c r="N67" s="161">
        <f>กระบี่!N67+ชุมพร!N67+ตรัง!N67+นครศรีธรรมราช!N67+นราธิวาส!N67+ปัตตานี!N67+พังงา!N67+พัทลุง!N67+ภูเก็ต!N67+ยะลา!N67+ระนอง!N67+สงขลา!N67+สตูล!N67+สุราษฎร์ธานี!N67</f>
        <v>0</v>
      </c>
      <c r="O67" s="160">
        <f t="shared" si="43"/>
        <v>0</v>
      </c>
      <c r="P67" s="160">
        <f t="shared" si="44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ca="1">กระบี่!L68+ชุมพร!L68+ตรัง!L68+นครศรีธรรมราช!L68+นราธิวาส!L68+ปัตตานี!L68+พังงา!L68+พัทลุง!L68+ภูเก็ต!L68+ยะลา!L68+ระนอง!L68+สงขลา!L68+สตูล!L68+สุราษฎร์ธานี!L68</f>
        <v>2053200</v>
      </c>
      <c r="M68" s="161">
        <f ca="1">กระบี่!M68+ชุมพร!M68+ตรัง!M68+นครศรีธรรมราช!M68+นราธิวาส!M68+ปัตตานี!M68+พังงา!M68+พัทลุง!M68+ภูเก็ต!M68+ยะลา!M68+ระนอง!M68+สงขลา!M68+สตูล!M68+สุราษฎร์ธานี!M68</f>
        <v>1679740</v>
      </c>
      <c r="N68" s="161">
        <f ca="1">กระบี่!N68+ชุมพร!N68+ตรัง!N68+นครศรีธรรมราช!N68+นราธิวาส!N68+ปัตตานี!N68+พังงา!N68+พัทลุง!N68+ภูเก็ต!N68+ยะลา!N68+ระนอง!N68+สงขลา!N68+สตูล!N68+สุราษฎร์ธานี!N68</f>
        <v>868544.52999999991</v>
      </c>
      <c r="O68" s="160">
        <f t="shared" ca="1" si="43"/>
        <v>42.301993473602174</v>
      </c>
      <c r="P68" s="160">
        <f t="shared" ca="1" si="44"/>
        <v>51.707081453082019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f>กระบี่!L69+ชุมพร!L69+ตรัง!L69+นครศรีธรรมราช!L69+นราธิวาส!L69+ปัตตานี!L69+พังงา!L69+พัทลุง!L69+ภูเก็ต!L69+ยะลา!L69+ระนอง!L69+สงขลา!L69+สตูล!L69+สุราษฎร์ธานี!L69</f>
        <v>0</v>
      </c>
      <c r="M69" s="168">
        <f>กระบี่!M69+ชุมพร!M69+ตรัง!M69+นครศรีธรรมราช!M69+นราธิวาส!M69+ปัตตานี!M69+พังงา!M69+พัทลุง!M69+ภูเก็ต!M69+ยะลา!M69+ระนอง!M69+สงขลา!M69+สตูล!M69+สุราษฎร์ธานี!M69</f>
        <v>0</v>
      </c>
      <c r="N69" s="168">
        <f>กระบี่!N69+ชุมพร!N69+ตรัง!N69+นครศรีธรรมราช!N69+นราธิวาส!N69+ปัตตานี!N69+พังงา!N69+พัทลุง!N69+ภูเก็ต!N69+ยะลา!N69+ระนอง!N69+สงขลา!N69+สตูล!N69+สุราษฎร์ธานี!N69</f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กระบี่!L70+ชุมพร!L70+ตรัง!L70+นครศรีธรรมราช!L70+นราธิวาส!L70+ปัตตานี!L70+พังงา!L70+พัทลุง!L70+ภูเก็ต!L70+ยะลา!L70+ระนอง!L70+สงขลา!L70+สตูล!L70+สุราษฎร์ธานี!L70</f>
        <v>2053200</v>
      </c>
      <c r="M70" s="173">
        <f ca="1">กระบี่!M70+ชุมพร!M70+ตรัง!M70+นครศรีธรรมราช!M70+นราธิวาส!M70+ปัตตานี!M70+พังงา!M70+พัทลุง!M70+ภูเก็ต!M70+ยะลา!M70+ระนอง!M70+สงขลา!M70+สตูล!M70+สุราษฎร์ธานี!M70</f>
        <v>1679740</v>
      </c>
      <c r="N70" s="174">
        <f ca="1">กระบี่!N70+ชุมพร!N70+ตรัง!N70+นครศรีธรรมราช!N70+นราธิวาส!N70+ปัตตานี!N70+พังงา!N70+พัทลุง!N70+ภูเก็ต!N70+ยะลา!N70+ระนอง!N70+สงขลา!N70+สตูล!N70+สุราษฎร์ธานี!N70</f>
        <v>868544.52999999991</v>
      </c>
      <c r="O70" s="175">
        <f ca="1">IF(L70&gt;0,N70*100/L70,0)</f>
        <v>42.301993473602174</v>
      </c>
      <c r="P70" s="175">
        <f ca="1">IF(M70&gt;0,N70*100/M70,0)</f>
        <v>51.707081453082019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กระบี่!L71+ชุมพร!L71+ตรัง!L71+นครศรีธรรมราช!L71+นราธิวาส!L71+ปัตตานี!L71+พังงา!L71+พัทลุง!L71+ภูเก็ต!L71+ยะลา!L71+ระนอง!L71+สงขลา!L71+สตูล!L71+สุราษฎร์ธานี!L71</f>
        <v>689200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กระบี่!L72+ชุมพร!L72+ตรัง!L72+นครศรีธรรมราช!L72+นราธิวาส!L72+ปัตตานี!L72+พังงา!L72+พัทลุง!L72+ภูเก็ต!L72+ยะลา!L72+ระนอง!L72+สงขลา!L72+สตูล!L72+สุราษฎร์ธานี!L72</f>
        <v>1364000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f>กระบี่!L73+ชุมพร!L73+ตรัง!L73+นครศรีธรรมราช!L73+นราธิวาส!L73+ปัตตานี!L73+พังงา!L73+พัทลุง!L73+ภูเก็ต!L73+ยะลา!L73+ระนอง!L73+สงขลา!L73+สตูล!L73+สุราษฎร์ธานี!L73</f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กระบี่!L74+ชุมพร!L74+ตรัง!L74+นครศรีธรรมราช!L74+นราธิวาส!L74+ปัตตานี!L74+พังงา!L74+พัทลุง!L74+ภูเก็ต!L74+ยะลา!L74+ระนอง!L74+สงขลา!L74+สตูล!L74+สุราษฎร์ธานี!L74</f>
        <v>0</v>
      </c>
      <c r="M74" s="101"/>
      <c r="N74" s="91">
        <f ca="1">กระบี่!N74+ชุมพร!N74+ตรัง!N74+นครศรีธรรมราช!N74+นราธิวาส!N74+ปัตตานี!N74+พังงา!N74+พัทลุง!N74+ภูเก็ต!N74+ยะลา!N74+ระนอง!N74+สงขลา!N74+สตูล!N74+สุราษฎร์ธานี!N74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กระบี่!J76+ชุมพร!J76+ตรัง!J76+นครศรีธรรมราช!J76+นราธิวาส!J76+ปัตตานี!J76+พังงา!J76+พัทลุง!J76+ภูเก็ต!J76+ยะลา!J76+ระนอง!J76+สงขลา!J76+สตูล!J76+สุราษฎร์ธานี!J76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กระบี่!J77+ชุมพร!J77+ตรัง!J77+นครศรีธรรมราช!J77+นราธิวาส!J77+ปัตตานี!J77+พังงา!J77+พัทลุง!J77+ภูเก็ต!J77+ยะลา!J77+ระนอง!J77+สงขลา!J77+สตูล!J77+สุราษฎร์ธานี!J77</f>
        <v>3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กระบี่!J78+ชุมพร!J78+ตรัง!J78+นครศรีธรรมราช!J78+นราธิวาส!J78+ปัตตานี!J78+พังงา!J78+พัทลุง!J78+ภูเก็ต!J78+ยะลา!J78+ระนอง!J78+สงขลา!J78+สตูล!J78+สุราษฎร์ธานี!J78</f>
        <v>3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กระบี่!J79+ชุมพร!J79+ตรัง!J79+นครศรีธรรมราช!J79+นราธิวาส!J79+ปัตตานี!J79+พังงา!J79+พัทลุง!J79+ภูเก็ต!J79+ยะลา!J79+ระนอง!J79+สงขลา!J79+สตูล!J79+สุราษฎร์ธานี!J79</f>
        <v>3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กระบี่!I80+ชุมพร!I80+ตรัง!I80+นครศรีธรรมราช!I80+นราธิวาส!I80+ปัตตานี!I80+พังงา!I80+พัทลุง!I80+ภูเก็ต!I80+ยะลา!I80+ระนอง!I80+สงขลา!I80+สตูล!I80+สุราษฎร์ธานี!I80</f>
        <v>4</v>
      </c>
      <c r="J80" s="207">
        <f ca="1">กระบี่!J80+ชุมพร!J80+ตรัง!J80+นครศรีธรรมราช!J80+นราธิวาส!J80+ปัตตานี!J80+พังงา!J80+พัทลุง!J80+ภูเก็ต!J80+ยะลา!J80+ระนอง!J80+สงขลา!J80+สตูล!J80+สุราษฎร์ธานี!J80</f>
        <v>4</v>
      </c>
      <c r="K80" s="208">
        <f t="shared" ref="K80:K88" ca="1" si="45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กระบี่!I81+ชุมพร!I81+ตรัง!I81+นครศรีธรรมราช!I81+นราธิวาส!I81+ปัตตานี!I81+พังงา!I81+พัทลุง!I81+ภูเก็ต!I81+ยะลา!I81+ระนอง!I81+สงขลา!I81+สตูล!I81+สุราษฎร์ธานี!I81</f>
        <v>130</v>
      </c>
      <c r="J81" s="207">
        <f ca="1">กระบี่!J81+ชุมพร!J81+ตรัง!J81+นครศรีธรรมราช!J81+นราธิวาส!J81+ปัตตานี!J81+พังงา!J81+พัทลุง!J81+ภูเก็ต!J81+ยะลา!J81+ระนอง!J81+สงขลา!J81+สตูล!J81+สุราษฎร์ธานี!J81</f>
        <v>130</v>
      </c>
      <c r="K81" s="208">
        <f t="shared" ca="1" si="45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กระบี่!I82+ชุมพร!I82+ตรัง!I82+นครศรีธรรมราช!I82+นราธิวาส!I82+ปัตตานี!I82+พังงา!I82+พัทลุง!I82+ภูเก็ต!I82+ยะลา!I82+ระนอง!I82+สงขลา!I82+สตูล!I82+สุราษฎร์ธานี!I82</f>
        <v>1</v>
      </c>
      <c r="J82" s="210">
        <f ca="1">กระบี่!J82+ชุมพร!J82+ตรัง!J82+นครศรีธรรมราช!J82+นราธิวาส!J82+ปัตตานี!J82+พังงา!J82+พัทลุง!J82+ภูเก็ต!J82+ยะลา!J82+ระนอง!J82+สงขลา!J82+สตูล!J82+สุราษฎร์ธานี!J82</f>
        <v>1</v>
      </c>
      <c r="K82" s="167">
        <f t="shared" ca="1" si="45"/>
        <v>100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กระบี่!I83+ชุมพร!I83+ตรัง!I83+นครศรีธรรมราช!I83+นราธิวาส!I83+ปัตตานี!I83+พังงา!I83+พัทลุง!I83+ภูเก็ต!I83+ยะลา!I83+ระนอง!I83+สงขลา!I83+สตูล!I83+สุราษฎร์ธานี!I83</f>
        <v>30</v>
      </c>
      <c r="J83" s="210">
        <f ca="1">กระบี่!J83+ชุมพร!J83+ตรัง!J83+นครศรีธรรมราช!J83+นราธิวาส!J83+ปัตตานี!J83+พังงา!J83+พัทลุง!J83+ภูเก็ต!J83+ยะลา!J83+ระนอง!J83+สงขลา!J83+สตูล!J83+สุราษฎร์ธานี!J83</f>
        <v>30</v>
      </c>
      <c r="K83" s="167">
        <f t="shared" ca="1" si="45"/>
        <v>100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กระบี่!I84+ชุมพร!I84+ตรัง!I84+นครศรีธรรมราช!I84+นราธิวาส!I84+ปัตตานี!I84+พังงา!I84+พัทลุง!I84+ภูเก็ต!I84+ยะลา!I84+ระนอง!I84+สงขลา!I84+สตูล!I84+สุราษฎร์ธานี!I84</f>
        <v>1</v>
      </c>
      <c r="J84" s="195">
        <f ca="1">กระบี่!J84+ชุมพร!J84+ตรัง!J84+นครศรีธรรมราช!J84+นราธิวาส!J84+ปัตตานี!J84+พังงา!J84+พัทลุง!J84+ภูเก็ต!J84+ยะลา!J84+ระนอง!J84+สงขลา!J84+สตูล!J84+สุราษฎร์ธานี!J84</f>
        <v>1</v>
      </c>
      <c r="K84" s="167">
        <f t="shared" ca="1" si="45"/>
        <v>100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กระบี่!I85+ชุมพร!I85+ตรัง!I85+นครศรีธรรมราช!I85+นราธิวาส!I85+ปัตตานี!I85+พังงา!I85+พัทลุง!I85+ภูเก็ต!I85+ยะลา!I85+ระนอง!I85+สงขลา!I85+สตูล!I85+สุราษฎร์ธานี!I85</f>
        <v>30</v>
      </c>
      <c r="J85" s="195">
        <f ca="1">กระบี่!J85+ชุมพร!J85+ตรัง!J85+นครศรีธรรมราช!J85+นราธิวาส!J85+ปัตตานี!J85+พังงา!J85+พัทลุง!J85+ภูเก็ต!J85+ยะลา!J85+ระนอง!J85+สงขลา!J85+สตูล!J85+สุราษฎร์ธานี!J85</f>
        <v>30</v>
      </c>
      <c r="K85" s="167">
        <f t="shared" ca="1" si="45"/>
        <v>100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กระบี่!I86+ชุมพร!I86+ตรัง!I86+นครศรีธรรมราช!I86+นราธิวาส!I86+ปัตตานี!I86+พังงา!I86+พัทลุง!I86+ภูเก็ต!I86+ยะลา!I86+ระนอง!I86+สงขลา!I86+สตูล!I86+สุราษฎร์ธานี!I86</f>
        <v>2</v>
      </c>
      <c r="J86" s="210">
        <f ca="1">กระบี่!J86+ชุมพร!J86+ตรัง!J86+นครศรีธรรมราช!J86+นราธิวาส!J86+ปัตตานี!J86+พังงา!J86+พัทลุง!J86+ภูเก็ต!J86+ยะลา!J86+ระนอง!J86+สงขลา!J86+สตูล!J86+สุราษฎร์ธานี!J86</f>
        <v>2</v>
      </c>
      <c r="K86" s="167">
        <f t="shared" ca="1" si="45"/>
        <v>100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กระบี่!I87+ชุมพร!I87+ตรัง!I87+นครศรีธรรมราช!I87+นราธิวาส!I87+ปัตตานี!I87+พังงา!I87+พัทลุง!I87+ภูเก็ต!I87+ยะลา!I87+ระนอง!I87+สงขลา!I87+สตูล!I87+สุราษฎร์ธานี!I87</f>
        <v>70</v>
      </c>
      <c r="J87" s="210">
        <f ca="1">กระบี่!J87+ชุมพร!J87+ตรัง!J87+นครศรีธรรมราช!J87+นราธิวาส!J87+ปัตตานี!J87+พังงา!J87+พัทลุง!J87+ภูเก็ต!J87+ยะลา!J87+ระนอง!J87+สงขลา!J87+สตูล!J87+สุราษฎร์ธานี!J87</f>
        <v>70</v>
      </c>
      <c r="K87" s="167">
        <f t="shared" ca="1" si="45"/>
        <v>100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กระบี่!I88+ชุมพร!I88+ตรัง!I88+นครศรีธรรมราช!I88+นราธิวาส!I88+ปัตตานี!I88+พังงา!I88+พัทลุง!I88+ภูเก็ต!I88+ยะลา!I88+ระนอง!I88+สงขลา!I88+สตูล!I88+สุราษฎร์ธานี!I88</f>
        <v>30</v>
      </c>
      <c r="J88" s="210">
        <f ca="1">กระบี่!J88+ชุมพร!J88+ตรัง!J88+นครศรีธรรมราช!J88+นราธิวาส!J88+ปัตตานี!J88+พังงา!J88+พัทลุง!J88+ภูเก็ต!J88+ยะลา!J88+ระนอง!J88+สงขลา!J88+สตูล!J88+สุราษฎร์ธานี!J88</f>
        <v>0</v>
      </c>
      <c r="K88" s="167">
        <f t="shared" ca="1" si="45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กระบี่!J89+ชุมพร!J89+ตรัง!J89+นครศรีธรรมราช!J89+นราธิวาส!J89+ปัตตานี!J89+พังงา!J89+พัทลุง!J89+ภูเก็ต!J89+ยะลา!J89+ระนอง!J89+สงขลา!J89+สตูล!J89+สุราษฎร์ธานี!J89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กระบี่!J90+ชุมพร!J90+ตรัง!J90+นครศรีธรรมราช!J90+นราธิวาส!J90+ปัตตานี!J90+พังงา!J90+พัทลุง!J90+ภูเก็ต!J90+ยะลา!J90+ระนอง!J90+สงขลา!J90+สตูล!J90+สุราษฎร์ธานี!J90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กระบี่!I92+ชุมพร!I92+ตรัง!I92+นครศรีธรรมราช!I92+นราธิวาส!I92+ปัตตานี!I92+พังงา!I92+พัทลุง!I92+ภูเก็ต!I92+ยะลา!I92+ระนอง!I92+สงขลา!I92+สตูล!I92+สุราษฎร์ธานี!I92</f>
        <v>23</v>
      </c>
      <c r="J92" s="146">
        <f ca="1">กระบี่!J92+ชุมพร!J92+ตรัง!J92+นครศรีธรรมราช!J92+นราธิวาส!J92+ปัตตานี!J92+พังงา!J92+พัทลุง!J92+ภูเก็ต!J92+ยะลา!J92+ระนอง!J92+สงขลา!J92+สตูล!J92+สุราษฎร์ธานี!J92</f>
        <v>19</v>
      </c>
      <c r="K92" s="147">
        <f t="shared" ref="K92:K93" ca="1" si="46">IF(I92&gt;0,J92*100/I92,0)</f>
        <v>82.608695652173907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กระบี่!I93+ชุมพร!I93+ตรัง!I93+นครศรีธรรมราช!I93+นราธิวาส!I93+ปัตตานี!I93+พังงา!I93+พัทลุง!I93+ภูเก็ต!I93+ยะลา!I93+ระนอง!I93+สงขลา!I93+สตูล!I93+สุราษฎร์ธานี!I93</f>
        <v>6</v>
      </c>
      <c r="J93" s="146">
        <f ca="1">กระบี่!J93+ชุมพร!J93+ตรัง!J93+นครศรีธรรมราช!J93+นราธิวาส!J93+ปัตตานี!J93+พังงา!J93+พัทลุง!J93+ภูเก็ต!J93+ยะลา!J93+ระนอง!J93+สงขลา!J93+สตูล!J93+สุราษฎร์ธานี!J93</f>
        <v>6</v>
      </c>
      <c r="K93" s="147">
        <f t="shared" ca="1" si="46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ca="1">กระบี่!L94+ชุมพร!L94+ตรัง!L94+นครศรีธรรมราช!L94+นราธิวาส!L94+ปัตตานี!L94+พังงา!L94+พัทลุง!L94+ภูเก็ต!L94+ยะลา!L94+ระนอง!L94+สงขลา!L94+สตูล!L94+สุราษฎร์ธานี!L94</f>
        <v>1177800</v>
      </c>
      <c r="M94" s="156">
        <f ca="1">กระบี่!M94+ชุมพร!M94+ตรัง!M94+นครศรีธรรมราช!M94+นราธิวาส!M94+ปัตตานี!M94+พังงา!M94+พัทลุง!M94+ภูเก็ต!M94+ยะลา!M94+ระนอง!M94+สงขลา!M94+สตูล!M94+สุราษฎร์ธานี!M94</f>
        <v>1177800</v>
      </c>
      <c r="N94" s="156">
        <f ca="1">กระบี่!N94+ชุมพร!N94+ตรัง!N94+นครศรีธรรมราช!N94+นราธิวาส!N94+ปัตตานี!N94+พังงา!N94+พัทลุง!N94+ภูเก็ต!N94+ยะลา!N94+ระนอง!N94+สงขลา!N94+สตูล!N94+สุราษฎร์ธานี!N94</f>
        <v>719244.16</v>
      </c>
      <c r="O94" s="155">
        <f t="shared" ref="O94:O96" ca="1" si="47">IF(L94&gt;0,N94*100/L94,0)</f>
        <v>61.066748174562747</v>
      </c>
      <c r="P94" s="155">
        <f t="shared" ref="P94:P96" ca="1" si="48">IF(M94&gt;0,N94*100/M94,0)</f>
        <v>61.066748174562747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>กระบี่!L95+ชุมพร!L95+ตรัง!L95+นครศรีธรรมราช!L95+นราธิวาส!L95+ปัตตานี!L95+พังงา!L95+พัทลุง!L95+ภูเก็ต!L95+ยะลา!L95+ระนอง!L95+สงขลา!L95+สตูล!L95+สุราษฎร์ธานี!L95</f>
        <v>0</v>
      </c>
      <c r="M95" s="161">
        <f>กระบี่!M95+ชุมพร!M95+ตรัง!M95+นครศรีธรรมราช!M95+นราธิวาส!M95+ปัตตานี!M95+พังงา!M95+พัทลุง!M95+ภูเก็ต!M95+ยะลา!M95+ระนอง!M95+สงขลา!M95+สตูล!M95+สุราษฎร์ธานี!M95</f>
        <v>0</v>
      </c>
      <c r="N95" s="161">
        <f>กระบี่!N95+ชุมพร!N95+ตรัง!N95+นครศรีธรรมราช!N95+นราธิวาส!N95+ปัตตานี!N95+พังงา!N95+พัทลุง!N95+ภูเก็ต!N95+ยะลา!N95+ระนอง!N95+สงขลา!N95+สตูล!N95+สุราษฎร์ธานี!N95</f>
        <v>0</v>
      </c>
      <c r="O95" s="160">
        <f t="shared" si="47"/>
        <v>0</v>
      </c>
      <c r="P95" s="160">
        <f t="shared" si="48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ca="1">กระบี่!L96+ชุมพร!L96+ตรัง!L96+นครศรีธรรมราช!L96+นราธิวาส!L96+ปัตตานี!L96+พังงา!L96+พัทลุง!L96+ภูเก็ต!L96+ยะลา!L96+ระนอง!L96+สงขลา!L96+สตูล!L96+สุราษฎร์ธานี!L96</f>
        <v>1177800</v>
      </c>
      <c r="M96" s="161">
        <f ca="1">กระบี่!M96+ชุมพร!M96+ตรัง!M96+นครศรีธรรมราช!M96+นราธิวาส!M96+ปัตตานี!M96+พังงา!M96+พัทลุง!M96+ภูเก็ต!M96+ยะลา!M96+ระนอง!M96+สงขลา!M96+สตูล!M96+สุราษฎร์ธานี!M96</f>
        <v>1177800</v>
      </c>
      <c r="N96" s="161">
        <f ca="1">กระบี่!N96+ชุมพร!N96+ตรัง!N96+นครศรีธรรมราช!N96+นราธิวาส!N96+ปัตตานี!N96+พังงา!N96+พัทลุง!N96+ภูเก็ต!N96+ยะลา!N96+ระนอง!N96+สงขลา!N96+สตูล!N96+สุราษฎร์ธานี!N96</f>
        <v>719244.16</v>
      </c>
      <c r="O96" s="160">
        <f t="shared" ca="1" si="47"/>
        <v>61.066748174562747</v>
      </c>
      <c r="P96" s="160">
        <f t="shared" ca="1" si="48"/>
        <v>61.066748174562747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f>กระบี่!L97+ชุมพร!L97+ตรัง!L97+นครศรีธรรมราช!L97+นราธิวาส!L97+ปัตตานี!L97+พังงา!L97+พัทลุง!L97+ภูเก็ต!L97+ยะลา!L97+ระนอง!L97+สงขลา!L97+สตูล!L97+สุราษฎร์ธานี!L97</f>
        <v>0</v>
      </c>
      <c r="M97" s="168">
        <f>กระบี่!M97+ชุมพร!M97+ตรัง!M97+นครศรีธรรมราช!M97+นราธิวาส!M97+ปัตตานี!M97+พังงา!M97+พัทลุง!M97+ภูเก็ต!M97+ยะลา!M97+ระนอง!M97+สงขลา!M97+สตูล!M97+สุราษฎร์ธานี!M97</f>
        <v>0</v>
      </c>
      <c r="N97" s="168">
        <f>กระบี่!N97+ชุมพร!N97+ตรัง!N97+นครศรีธรรมราช!N97+นราธิวาส!N97+ปัตตานี!N97+พังงา!N97+พัทลุง!N97+ภูเก็ต!N97+ยะลา!N97+ระนอง!N97+สงขลา!N97+สตูล!N97+สุราษฎร์ธานี!N97</f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กระบี่!L98+ชุมพร!L98+ตรัง!L98+นครศรีธรรมราช!L98+นราธิวาส!L98+ปัตตานี!L98+พังงา!L98+พัทลุง!L98+ภูเก็ต!L98+ยะลา!L98+ระนอง!L98+สงขลา!L98+สตูล!L98+สุราษฎร์ธานี!L98</f>
        <v>623400</v>
      </c>
      <c r="M98" s="173">
        <f ca="1">กระบี่!M98+ชุมพร!M98+ตรัง!M98+นครศรีธรรมราช!M98+นราธิวาส!M98+ปัตตานี!M98+พังงา!M98+พัทลุง!M98+ภูเก็ต!M98+ยะลา!M98+ระนอง!M98+สงขลา!M98+สตูล!M98+สุราษฎร์ธานี!M98</f>
        <v>623400</v>
      </c>
      <c r="N98" s="174">
        <f ca="1">กระบี่!N98+ชุมพร!N98+ตรัง!N98+นครศรีธรรมราช!N98+นราธิวาส!N98+ปัตตานี!N98+พังงา!N98+พัทลุง!N98+ภูเก็ต!N98+ยะลา!N98+ระนอง!N98+สงขลา!N98+สตูล!N98+สุราษฎร์ธานี!N98</f>
        <v>164844.16</v>
      </c>
      <c r="O98" s="175">
        <f ca="1">IF(L98&gt;0,N98*100/L98,0)</f>
        <v>26.442759063201798</v>
      </c>
      <c r="P98" s="175">
        <f ca="1">IF(M98&gt;0,N98*100/M98,0)</f>
        <v>26.442759063201798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กระบี่!L99+ชุมพร!L99+ตรัง!L99+นครศรีธรรมราช!L99+นราธิวาส!L99+ปัตตานี!L99+พังงา!L99+พัทลุง!L99+ภูเก็ต!L99+ยะลา!L99+ระนอง!L99+สงขลา!L99+สตูล!L99+สุราษฎร์ธานี!L99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กระบี่!L100+ชุมพร!L100+ตรัง!L100+นครศรีธรรมราช!L100+นราธิวาส!L100+ปัตตานี!L100+พังงา!L100+พัทลุง!L100+ภูเก็ต!L100+ยะลา!L100+ระนอง!L100+สงขลา!L100+สตูล!L100+สุราษฎร์ธานี!L100</f>
        <v>623400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f>กระบี่!L101+ชุมพร!L101+ตรัง!L101+นครศรีธรรมราช!L101+นราธิวาส!L101+ปัตตานี!L101+พังงา!L101+พัทลุง!L101+ภูเก็ต!L101+ยะลา!L101+ระนอง!L101+สงขลา!L101+สตูล!L101+สุราษฎร์ธานี!L101</f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กระบี่!L102+ชุมพร!L102+ตรัง!L102+นครศรีธรรมราช!L102+นราธิวาส!L102+ปัตตานี!L102+พังงา!L102+พัทลุง!L102+ภูเก็ต!L102+ยะลา!L102+ระนอง!L102+สงขลา!L102+สตูล!L102+สุราษฎร์ธานี!L102</f>
        <v>554400</v>
      </c>
      <c r="M102" s="101">
        <f ca="1">กระบี่!M102+ชุมพร!M102+ตรัง!M102+นครศรีธรรมราช!M102+นราธิวาส!M102+ปัตตานี!M102+พังงา!M102+พัทลุง!M102+ภูเก็ต!M102+ยะลา!M102+ระนอง!M102+สงขลา!M102+สตูล!M102+สุราษฎร์ธานี!M102</f>
        <v>554400</v>
      </c>
      <c r="N102" s="91">
        <f ca="1">กระบี่!N102+ชุมพร!N102+ตรัง!N102+นครศรีธรรมราช!N102+นราธิวาส!N102+ปัตตานี!N102+พังงา!N102+พัทลุง!N102+ภูเก็ต!N102+ยะลา!N102+ระนอง!N102+สงขลา!N102+สตูล!N102+สุราษฎร์ธานี!N102</f>
        <v>554400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กระบี่!J104+ชุมพร!J104+ตรัง!J104+นครศรีธรรมราช!J104+นราธิวาส!J104+ปัตตานี!J104+พังงา!J104+พัทลุง!J104+ภูเก็ต!J104+ยะลา!J104+ระนอง!J104+สงขลา!J104+สตูล!J104+สุราษฎร์ธานี!J104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กระบี่!J105+ชุมพร!J105+ตรัง!J105+นครศรีธรรมราช!J105+นราธิวาส!J105+ปัตตานี!J105+พังงา!J105+พัทลุง!J105+ภูเก็ต!J105+ยะลา!J105+ระนอง!J105+สงขลา!J105+สตูล!J105+สุราษฎร์ธานี!J105</f>
        <v>5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กระบี่!J106+ชุมพร!J106+ตรัง!J106+นครศรีธรรมราช!J106+นราธิวาส!J106+ปัตตานี!J106+พังงา!J106+พัทลุง!J106+ภูเก็ต!J106+ยะลา!J106+ระนอง!J106+สงขลา!J106+สตูล!J106+สุราษฎร์ธานี!J106</f>
        <v>5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กระบี่!J107+ชุมพร!J107+ตรัง!J107+นครศรีธรรมราช!J107+นราธิวาส!J107+ปัตตานี!J107+พังงา!J107+พัทลุง!J107+ภูเก็ต!J107+ยะลา!J107+ระนอง!J107+สงขลา!J107+สตูล!J107+สุราษฎร์ธานี!J107</f>
        <v>5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กระบี่!I108+ชุมพร!I108+ตรัง!I108+นครศรีธรรมราช!I108+นราธิวาส!I108+ปัตตานี!I108+พังงา!I108+พัทลุง!I108+ภูเก็ต!I108+ยะลา!I108+ระนอง!I108+สงขลา!I108+สตูล!I108+สุราษฎร์ธานี!I108</f>
        <v>5</v>
      </c>
      <c r="J108" s="210">
        <f ca="1">กระบี่!J108+ชุมพร!J108+ตรัง!J108+นครศรีธรรมราช!J108+นราธิวาส!J108+ปัตตานี!J108+พังงา!J108+พัทลุง!J108+ภูเก็ต!J108+ยะลา!J108+ระนอง!J108+สงขลา!J108+สตูล!J108+สุราษฎร์ธานี!J108</f>
        <v>5</v>
      </c>
      <c r="K108" s="230">
        <f t="shared" ref="K108:K113" ca="1" si="49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กระบี่!I109+ชุมพร!I109+ตรัง!I109+นครศรีธรรมราช!I109+นราธิวาส!I109+ปัตตานี!I109+พังงา!I109+พัทลุง!I109+ภูเก็ต!I109+ยะลา!I109+ระนอง!I109+สงขลา!I109+สตูล!I109+สุราษฎร์ธานี!I109</f>
        <v>23</v>
      </c>
      <c r="J109" s="210">
        <f ca="1">กระบี่!J109+ชุมพร!J109+ตรัง!J109+นครศรีธรรมราช!J109+นราธิวาส!J109+ปัตตานี!J109+พังงา!J109+พัทลุง!J109+ภูเก็ต!J109+ยะลา!J109+ระนอง!J109+สงขลา!J109+สตูล!J109+สุราษฎร์ธานี!J109</f>
        <v>19</v>
      </c>
      <c r="K109" s="230">
        <f t="shared" ca="1" si="49"/>
        <v>82.608695652173907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กระบี่!I110+ชุมพร!I110+ตรัง!I110+นครศรีธรรมราช!I110+นราธิวาส!I110+ปัตตานี!I110+พังงา!I110+พัทลุง!I110+ภูเก็ต!I110+ยะลา!I110+ระนอง!I110+สงขลา!I110+สตูล!I110+สุราษฎร์ธานี!I110</f>
        <v>23</v>
      </c>
      <c r="J110" s="210">
        <f ca="1">กระบี่!J110+ชุมพร!J110+ตรัง!J110+นครศรีธรรมราช!J110+นราธิวาส!J110+ปัตตานี!J110+พังงา!J110+พัทลุง!J110+ภูเก็ต!J110+ยะลา!J110+ระนอง!J110+สงขลา!J110+สตูล!J110+สุราษฎร์ธานี!J110</f>
        <v>23</v>
      </c>
      <c r="K110" s="230">
        <f t="shared" ca="1" si="49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กระบี่!I111+ชุมพร!I111+ตรัง!I111+นครศรีธรรมราช!I111+นราธิวาส!I111+ปัตตานี!I111+พังงา!I111+พัทลุง!I111+ภูเก็ต!I111+ยะลา!I111+ระนอง!I111+สงขลา!I111+สตูล!I111+สุราษฎร์ธานี!I111</f>
        <v>23</v>
      </c>
      <c r="J111" s="210">
        <f ca="1">กระบี่!J111+ชุมพร!J111+ตรัง!J111+นครศรีธรรมราช!J111+นราธิวาส!J111+ปัตตานี!J111+พังงา!J111+พัทลุง!J111+ภูเก็ต!J111+ยะลา!J111+ระนอง!J111+สงขลา!J111+สตูล!J111+สุราษฎร์ธานี!J111</f>
        <v>23</v>
      </c>
      <c r="K111" s="230">
        <f t="shared" ca="1" si="49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กระบี่!I112+ชุมพร!I112+ตรัง!I112+นครศรีธรรมราช!I112+นราธิวาส!I112+ปัตตานี!I112+พังงา!I112+พัทลุง!I112+ภูเก็ต!I112+ยะลา!I112+ระนอง!I112+สงขลา!I112+สตูล!I112+สุราษฎร์ธานี!I112</f>
        <v>23</v>
      </c>
      <c r="J112" s="210">
        <f ca="1">กระบี่!J112+ชุมพร!J112+ตรัง!J112+นครศรีธรรมราช!J112+นราธิวาส!J112+ปัตตานี!J112+พังงา!J112+พัทลุง!J112+ภูเก็ต!J112+ยะลา!J112+ระนอง!J112+สงขลา!J112+สตูล!J112+สุราษฎร์ธานี!J112</f>
        <v>19</v>
      </c>
      <c r="K112" s="230">
        <f t="shared" ca="1" si="49"/>
        <v>82.608695652173907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กระบี่!I113+ชุมพร!I113+ตรัง!I113+นครศรีธรรมราช!I113+นราธิวาส!I113+ปัตตานี!I113+พังงา!I113+พัทลุง!I113+ภูเก็ต!I113+ยะลา!I113+ระนอง!I113+สงขลา!I113+สตูล!I113+สุราษฎร์ธานี!I113</f>
        <v>6</v>
      </c>
      <c r="J113" s="210">
        <f ca="1">กระบี่!J113+ชุมพร!J113+ตรัง!J113+นครศรีธรรมราช!J113+นราธิวาส!J113+ปัตตานี!J113+พังงา!J113+พัทลุง!J113+ภูเก็ต!J113+ยะลา!J113+ระนอง!J113+สงขลา!J113+สตูล!J113+สุราษฎร์ธานี!J113</f>
        <v>6</v>
      </c>
      <c r="K113" s="230">
        <f t="shared" ca="1" si="49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กระบี่!J114+ชุมพร!J114+ตรัง!J114+นครศรีธรรมราช!J114+นราธิวาส!J114+ปัตตานี!J114+พังงา!J114+พัทลุง!J114+ภูเก็ต!J114+ยะลา!J114+ระนอง!J114+สงขลา!J114+สตูล!J114+สุราษฎร์ธานี!J114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กระบี่!J115+ชุมพร!J115+ตรัง!J115+นครศรีธรรมราช!J115+นราธิวาส!J115+ปัตตานี!J115+พังงา!J115+พัทลุง!J115+ภูเก็ต!J115+ยะลา!J115+ระนอง!J115+สงขลา!J115+สตูล!J115+สุราษฎร์ธานี!J115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กระบี่!I117+ชุมพร!I117+ตรัง!I117+นครศรีธรรมราช!I117+นราธิวาส!I117+ปัตตานี!I117+พังงา!I117+พัทลุง!I117+ภูเก็ต!I117+ยะลา!I117+ระนอง!I117+สงขลา!I117+สตูล!I117+สุราษฎร์ธานี!I117</f>
        <v>75</v>
      </c>
      <c r="J117" s="146">
        <f ca="1">กระบี่!J117+ชุมพร!J117+ตรัง!J117+นครศรีธรรมราช!J117+นราธิวาส!J117+ปัตตานี!J117+พังงา!J117+พัทลุง!J117+ภูเก็ต!J117+ยะลา!J117+ระนอง!J117+สงขลา!J117+สตูล!J117+สุราษฎร์ธานี!J117</f>
        <v>75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ca="1">กระบี่!L118+ชุมพร!L118+ตรัง!L118+นครศรีธรรมราช!L118+นราธิวาส!L118+ปัตตานี!L118+พังงา!L118+พัทลุง!L118+ภูเก็ต!L118+ยะลา!L118+ระนอง!L118+สงขลา!L118+สตูล!L118+สุราษฎร์ธานี!L118</f>
        <v>324450</v>
      </c>
      <c r="M118" s="156">
        <f ca="1">กระบี่!M118+ชุมพร!M118+ตรัง!M118+นครศรีธรรมราช!M118+นราธิวาส!M118+ปัตตานี!M118+พังงา!M118+พัทลุง!M118+ภูเก็ต!M118+ยะลา!M118+ระนอง!M118+สงขลา!M118+สตูล!M118+สุราษฎร์ธานี!M118</f>
        <v>324450</v>
      </c>
      <c r="N118" s="156">
        <f ca="1">กระบี่!N118+ชุมพร!N118+ตรัง!N118+นครศรีธรรมราช!N118+นราธิวาส!N118+ปัตตานี!N118+พังงา!N118+พัทลุง!N118+ภูเก็ต!N118+ยะลา!N118+ระนอง!N118+สงขลา!N118+สตูล!N118+สุราษฎร์ธานี!N118</f>
        <v>173159</v>
      </c>
      <c r="O118" s="155">
        <f t="shared" ref="O118:O120" ca="1" si="50">IF(L118&gt;0,N118*100/L118,0)</f>
        <v>53.370010787486514</v>
      </c>
      <c r="P118" s="155">
        <f t="shared" ref="P118:P120" ca="1" si="51">IF(M118&gt;0,N118*100/M118,0)</f>
        <v>53.370010787486514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>กระบี่!L119+ชุมพร!L119+ตรัง!L119+นครศรีธรรมราช!L119+นราธิวาส!L119+ปัตตานี!L119+พังงา!L119+พัทลุง!L119+ภูเก็ต!L119+ยะลา!L119+ระนอง!L119+สงขลา!L119+สตูล!L119+สุราษฎร์ธานี!L119</f>
        <v>0</v>
      </c>
      <c r="M119" s="161">
        <f>กระบี่!M119+ชุมพร!M119+ตรัง!M119+นครศรีธรรมราช!M119+นราธิวาส!M119+ปัตตานี!M119+พังงา!M119+พัทลุง!M119+ภูเก็ต!M119+ยะลา!M119+ระนอง!M119+สงขลา!M119+สตูล!M119+สุราษฎร์ธานี!M119</f>
        <v>0</v>
      </c>
      <c r="N119" s="161">
        <f>กระบี่!N119+ชุมพร!N119+ตรัง!N119+นครศรีธรรมราช!N119+นราธิวาส!N119+ปัตตานี!N119+พังงา!N119+พัทลุง!N119+ภูเก็ต!N119+ยะลา!N119+ระนอง!N119+สงขลา!N119+สตูล!N119+สุราษฎร์ธานี!N119</f>
        <v>0</v>
      </c>
      <c r="O119" s="160">
        <f t="shared" si="50"/>
        <v>0</v>
      </c>
      <c r="P119" s="160">
        <f t="shared" si="51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ca="1">กระบี่!L120+ชุมพร!L120+ตรัง!L120+นครศรีธรรมราช!L120+นราธิวาส!L120+ปัตตานี!L120+พังงา!L120+พัทลุง!L120+ภูเก็ต!L120+ยะลา!L120+ระนอง!L120+สงขลา!L120+สตูล!L120+สุราษฎร์ธานี!L120</f>
        <v>324450</v>
      </c>
      <c r="M120" s="161">
        <f ca="1">กระบี่!M120+ชุมพร!M120+ตรัง!M120+นครศรีธรรมราช!M120+นราธิวาส!M120+ปัตตานี!M120+พังงา!M120+พัทลุง!M120+ภูเก็ต!M120+ยะลา!M120+ระนอง!M120+สงขลา!M120+สตูล!M120+สุราษฎร์ธานี!M120</f>
        <v>324450</v>
      </c>
      <c r="N120" s="161">
        <f ca="1">กระบี่!N120+ชุมพร!N120+ตรัง!N120+นครศรีธรรมราช!N120+นราธิวาส!N120+ปัตตานี!N120+พังงา!N120+พัทลุง!N120+ภูเก็ต!N120+ยะลา!N120+ระนอง!N120+สงขลา!N120+สตูล!N120+สุราษฎร์ธานี!N120</f>
        <v>173159</v>
      </c>
      <c r="O120" s="160">
        <f t="shared" ca="1" si="50"/>
        <v>53.370010787486514</v>
      </c>
      <c r="P120" s="160">
        <f t="shared" ca="1" si="51"/>
        <v>53.370010787486514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f>กระบี่!L121+ชุมพร!L121+ตรัง!L121+นครศรีธรรมราช!L121+นราธิวาส!L121+ปัตตานี!L121+พังงา!L121+พัทลุง!L121+ภูเก็ต!L121+ยะลา!L121+ระนอง!L121+สงขลา!L121+สตูล!L121+สุราษฎร์ธานี!L121</f>
        <v>0</v>
      </c>
      <c r="M121" s="168">
        <f>กระบี่!M121+ชุมพร!M121+ตรัง!M121+นครศรีธรรมราช!M121+นราธิวาส!M121+ปัตตานี!M121+พังงา!M121+พัทลุง!M121+ภูเก็ต!M121+ยะลา!M121+ระนอง!M121+สงขลา!M121+สตูล!M121+สุราษฎร์ธานี!M121</f>
        <v>0</v>
      </c>
      <c r="N121" s="168">
        <f>กระบี่!N121+ชุมพร!N121+ตรัง!N121+นครศรีธรรมราช!N121+นราธิวาส!N121+ปัตตานี!N121+พังงา!N121+พัทลุง!N121+ภูเก็ต!N121+ยะลา!N121+ระนอง!N121+สงขลา!N121+สตูล!N121+สุราษฎร์ธานี!N121</f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กระบี่!L122+ชุมพร!L122+ตรัง!L122+นครศรีธรรมราช!L122+นราธิวาส!L122+ปัตตานี!L122+พังงา!L122+พัทลุง!L122+ภูเก็ต!L122+ยะลา!L122+ระนอง!L122+สงขลา!L122+สตูล!L122+สุราษฎร์ธานี!L122</f>
        <v>324450</v>
      </c>
      <c r="M122" s="173">
        <f ca="1">กระบี่!M122+ชุมพร!M122+ตรัง!M122+นครศรีธรรมราช!M122+นราธิวาส!M122+ปัตตานี!M122+พังงา!M122+พัทลุง!M122+ภูเก็ต!M122+ยะลา!M122+ระนอง!M122+สงขลา!M122+สตูล!M122+สุราษฎร์ธานี!M122</f>
        <v>324450</v>
      </c>
      <c r="N122" s="174">
        <f ca="1">กระบี่!N122+ชุมพร!N122+ตรัง!N122+นครศรีธรรมราช!N122+นราธิวาส!N122+ปัตตานี!N122+พังงา!N122+พัทลุง!N122+ภูเก็ต!N122+ยะลา!N122+ระนอง!N122+สงขลา!N122+สตูล!N122+สุราษฎร์ธานี!N122</f>
        <v>173159</v>
      </c>
      <c r="O122" s="175">
        <f ca="1">IF(L122&gt;0,N122*100/L122,0)</f>
        <v>53.370010787486514</v>
      </c>
      <c r="P122" s="175">
        <f ca="1">IF(M122&gt;0,N122*100/M122,0)</f>
        <v>53.370010787486514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กระบี่!L123+ชุมพร!L123+ตรัง!L123+นครศรีธรรมราช!L123+นราธิวาส!L123+ปัตตานี!L123+พังงา!L123+พัทลุง!L123+ภูเก็ต!L123+ยะลา!L123+ระนอง!L123+สงขลา!L123+สตูล!L123+สุราษฎร์ธานี!L123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กระบี่!L124+ชุมพร!L124+ตรัง!L124+นครศรีธรรมราช!L124+นราธิวาส!L124+ปัตตานี!L124+พังงา!L124+พัทลุง!L124+ภูเก็ต!L124+ยะลา!L124+ระนอง!L124+สงขลา!L124+สตูล!L124+สุราษฎร์ธานี!L124</f>
        <v>324450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f>กระบี่!L125+ชุมพร!L125+ตรัง!L125+นครศรีธรรมราช!L125+นราธิวาส!L125+ปัตตานี!L125+พังงา!L125+พัทลุง!L125+ภูเก็ต!L125+ยะลา!L125+ระนอง!L125+สงขลา!L125+สตูล!L125+สุราษฎร์ธานี!L125</f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กระบี่!L126+ชุมพร!L126+ตรัง!L126+นครศรีธรรมราช!L126+นราธิวาส!L126+ปัตตานี!L126+พังงา!L126+พัทลุง!L126+ภูเก็ต!L126+ยะลา!L126+ระนอง!L126+สงขลา!L126+สตูล!L126+สุราษฎร์ธานี!L126</f>
        <v>0</v>
      </c>
      <c r="M126" s="101"/>
      <c r="N126" s="91">
        <f ca="1">กระบี่!N126+ชุมพร!N126+ตรัง!N126+นครศรีธรรมราช!N126+นราธิวาส!N126+ปัตตานี!N126+พังงา!N126+พัทลุง!N126+ภูเก็ต!N126+ยะลา!N126+ระนอง!N126+สงขลา!N126+สตูล!N126+สุราษฎร์ธานี!N126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68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กระบี่!J128+ชุมพร!J128+ตรัง!J128+นครศรีธรรมราช!J128+นราธิวาส!J128+ปัตตานี!J128+พังงา!J128+พัทลุง!J128+ภูเก็ต!J128+ยะลา!J128+ระนอง!J128+สงขลา!J128+สตูล!J128+สุราษฎร์ธานี!J128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กระบี่!J129+ชุมพร!J129+ตรัง!J129+นครศรีธรรมราช!J129+นราธิวาส!J129+ปัตตานี!J129+พังงา!J129+พัทลุง!J129+ภูเก็ต!J129+ยะลา!J129+ระนอง!J129+สงขลา!J129+สตูล!J129+สุราษฎร์ธานี!J129</f>
        <v>5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กระบี่!J130+ชุมพร!J130+ตรัง!J130+นครศรีธรรมราช!J130+นราธิวาส!J130+ปัตตานี!J130+พังงา!J130+พัทลุง!J130+ภูเก็ต!J130+ยะลา!J130+ระนอง!J130+สงขลา!J130+สตูล!J130+สุราษฎร์ธานี!J130</f>
        <v>5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กระบี่!J131+ชุมพร!J131+ตรัง!J131+นครศรีธรรมราช!J131+นราธิวาส!J131+ปัตตานี!J131+พังงา!J131+พัทลุง!J131+ภูเก็ต!J131+ยะลา!J131+ระนอง!J131+สงขลา!J131+สตูล!J131+สุราษฎร์ธานี!J131</f>
        <v>5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กระบี่!I132+ชุมพร!I132+ตรัง!I132+นครศรีธรรมราช!I132+นราธิวาส!I132+ปัตตานี!I132+พังงา!I132+พัทลุง!I132+ภูเก็ต!I132+ยะลา!I132+ระนอง!I132+สงขลา!I132+สตูล!I132+สุราษฎร์ธานี!I132</f>
        <v>75</v>
      </c>
      <c r="J132" s="210">
        <f ca="1">กระบี่!J132+ชุมพร!J132+ตรัง!J132+นครศรีธรรมราช!J132+นราธิวาส!J132+ปัตตานี!J132+พังงา!J132+พัทลุง!J132+ภูเก็ต!J132+ยะลา!J132+ระนอง!J132+สงขลา!J132+สตูล!J132+สุราษฎร์ธานี!J132</f>
        <v>75</v>
      </c>
      <c r="K132" s="230">
        <f t="shared" ref="K132:K133" ca="1" si="52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กระบี่!I133+ชุมพร!I133+ตรัง!I133+นครศรีธรรมราช!I133+นราธิวาส!I133+ปัตตานี!I133+พังงา!I133+พัทลุง!I133+ภูเก็ต!I133+ยะลา!I133+ระนอง!I133+สงขลา!I133+สตูล!I133+สุราษฎร์ธานี!I133</f>
        <v>75</v>
      </c>
      <c r="J133" s="210">
        <f ca="1">กระบี่!J133+ชุมพร!J133+ตรัง!J133+นครศรีธรรมราช!J133+นราธิวาส!J133+ปัตตานี!J133+พังงา!J133+พัทลุง!J133+ภูเก็ต!J133+ยะลา!J133+ระนอง!J133+สงขลา!J133+สตูล!J133+สุราษฎร์ธานี!J133</f>
        <v>75</v>
      </c>
      <c r="K133" s="230">
        <f t="shared" ca="1" si="52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กระบี่!J134+ชุมพร!J134+ตรัง!J134+นครศรีธรรมราช!J134+นราธิวาส!J134+ปัตตานี!J134+พังงา!J134+พัทลุง!J134+ภูเก็ต!J134+ยะลา!J134+ระนอง!J134+สงขลา!J134+สตูล!J134+สุราษฎร์ธานี!J134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กระบี่!J135+ชุมพร!J135+ตรัง!J135+นครศรีธรรมราช!J135+นราธิวาส!J135+ปัตตานี!J135+พังงา!J135+พัทลุง!J135+ภูเก็ต!J135+ยะลา!J135+ระนอง!J135+สงขลา!J135+สตูล!J135+สุราษฎร์ธานี!J135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กระบี่!I138+ชุมพร!I138+ตรัง!I138+นครศรีธรรมราช!I138+นราธิวาส!I138+ปัตตานี!I138+พังงา!I138+พัทลุง!I138+ภูเก็ต!I138+ยะลา!I138+ระนอง!I138+สงขลา!I138+สตูล!I138+สุราษฎร์ธานี!I138</f>
        <v>160</v>
      </c>
      <c r="J138" s="273">
        <f ca="1">กระบี่!J138+ชุมพร!J138+ตรัง!J138+นครศรีธรรมราช!J138+นราธิวาส!J138+ปัตตานี!J138+พังงา!J138+พัทลุง!J138+ภูเก็ต!J138+ยะลา!J138+ระนอง!J138+สงขลา!J138+สตูล!J138+สุราษฎร์ธานี!J138</f>
        <v>132</v>
      </c>
      <c r="K138" s="274">
        <f ca="1">IF(I138&gt;0,J138*100/I138,0)</f>
        <v>82.5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ca="1">กระบี่!L140+ชุมพร!L140+ตรัง!L140+นครศรีธรรมราช!L140+นราธิวาส!L140+ปัตตานี!L140+พังงา!L140+พัทลุง!L140+ภูเก็ต!L140+ยะลา!L140+ระนอง!L140+สงขลา!L140+สตูล!L140+สุราษฎร์ธานี!L140</f>
        <v>2418600</v>
      </c>
      <c r="M140" s="156">
        <f ca="1">กระบี่!M140+ชุมพร!M140+ตรัง!M140+นครศรีธรรมราช!M140+นราธิวาส!M140+ปัตตานี!M140+พังงา!M140+พัทลุง!M140+ภูเก็ต!M140+ยะลา!M140+ระนอง!M140+สงขลา!M140+สตูล!M140+สุราษฎร์ธานี!M140</f>
        <v>2018820</v>
      </c>
      <c r="N140" s="156">
        <f ca="1">กระบี่!N140+ชุมพร!N140+ตรัง!N140+นครศรีธรรมราช!N140+นราธิวาส!N140+ปัตตานี!N140+พังงา!N140+พัทลุง!N140+ภูเก็ต!N140+ยะลา!N140+ระนอง!N140+สงขลา!N140+สตูล!N140+สุราษฎร์ธานี!N140</f>
        <v>1431812.4</v>
      </c>
      <c r="O140" s="155">
        <f t="shared" ref="O140:O142" ca="1" si="53">IF(L140&gt;0,N140*100/L140,0)</f>
        <v>59.200049615480033</v>
      </c>
      <c r="P140" s="155">
        <f t="shared" ref="P140:P142" ca="1" si="54">IF(M140&gt;0,N140*100/M140,0)</f>
        <v>70.923232383273401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>กระบี่!L141+ชุมพร!L141+ตรัง!L141+นครศรีธรรมราช!L141+นราธิวาส!L141+ปัตตานี!L141+พังงา!L141+พัทลุง!L141+ภูเก็ต!L141+ยะลา!L141+ระนอง!L141+สงขลา!L141+สตูล!L141+สุราษฎร์ธานี!L141</f>
        <v>0</v>
      </c>
      <c r="M141" s="161">
        <f>กระบี่!M141+ชุมพร!M141+ตรัง!M141+นครศรีธรรมราช!M141+นราธิวาส!M141+ปัตตานี!M141+พังงา!M141+พัทลุง!M141+ภูเก็ต!M141+ยะลา!M141+ระนอง!M141+สงขลา!M141+สตูล!M141+สุราษฎร์ธานี!M141</f>
        <v>0</v>
      </c>
      <c r="N141" s="161">
        <f>กระบี่!N141+ชุมพร!N141+ตรัง!N141+นครศรีธรรมราช!N141+นราธิวาส!N141+ปัตตานี!N141+พังงา!N141+พัทลุง!N141+ภูเก็ต!N141+ยะลา!N141+ระนอง!N141+สงขลา!N141+สตูล!N141+สุราษฎร์ธานี!N141</f>
        <v>0</v>
      </c>
      <c r="O141" s="160">
        <f t="shared" si="53"/>
        <v>0</v>
      </c>
      <c r="P141" s="160">
        <f t="shared" si="54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ca="1">กระบี่!L142+ชุมพร!L142+ตรัง!L142+นครศรีธรรมราช!L142+นราธิวาส!L142+ปัตตานี!L142+พังงา!L142+พัทลุง!L142+ภูเก็ต!L142+ยะลา!L142+ระนอง!L142+สงขลา!L142+สตูล!L142+สุราษฎร์ธานี!L142</f>
        <v>2418600</v>
      </c>
      <c r="M142" s="161">
        <f ca="1">กระบี่!M142+ชุมพร!M142+ตรัง!M142+นครศรีธรรมราช!M142+นราธิวาส!M142+ปัตตานี!M142+พังงา!M142+พัทลุง!M142+ภูเก็ต!M142+ยะลา!M142+ระนอง!M142+สงขลา!M142+สตูล!M142+สุราษฎร์ธานี!M142</f>
        <v>2018820</v>
      </c>
      <c r="N142" s="161">
        <f ca="1">กระบี่!N142+ชุมพร!N142+ตรัง!N142+นครศรีธรรมราช!N142+นราธิวาส!N142+ปัตตานี!N142+พังงา!N142+พัทลุง!N142+ภูเก็ต!N142+ยะลา!N142+ระนอง!N142+สงขลา!N142+สตูล!N142+สุราษฎร์ธานี!N142</f>
        <v>1431812.4</v>
      </c>
      <c r="O142" s="160">
        <f t="shared" ca="1" si="53"/>
        <v>59.200049615480033</v>
      </c>
      <c r="P142" s="160">
        <f t="shared" ca="1" si="54"/>
        <v>70.923232383273401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f>กระบี่!L143+ชุมพร!L143+ตรัง!L143+นครศรีธรรมราช!L143+นราธิวาส!L143+ปัตตานี!L143+พังงา!L143+พัทลุง!L143+ภูเก็ต!L143+ยะลา!L143+ระนอง!L143+สงขลา!L143+สตูล!L143+สุราษฎร์ธานี!L143</f>
        <v>0</v>
      </c>
      <c r="M143" s="168">
        <f>กระบี่!M143+ชุมพร!M143+ตรัง!M143+นครศรีธรรมราช!M143+นราธิวาส!M143+ปัตตานี!M143+พังงา!M143+พัทลุง!M143+ภูเก็ต!M143+ยะลา!M143+ระนอง!M143+สงขลา!M143+สตูล!M143+สุราษฎร์ธานี!M143</f>
        <v>0</v>
      </c>
      <c r="N143" s="168">
        <f>กระบี่!N143+ชุมพร!N143+ตรัง!N143+นครศรีธรรมราช!N143+นราธิวาส!N143+ปัตตานี!N143+พังงา!N143+พัทลุง!N143+ภูเก็ต!N143+ยะลา!N143+ระนอง!N143+สงขลา!N143+สตูล!N143+สุราษฎร์ธานี!N143</f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กระบี่!L144+ชุมพร!L144+ตรัง!L144+นครศรีธรรมราช!L144+นราธิวาส!L144+ปัตตานี!L144+พังงา!L144+พัทลุง!L144+ภูเก็ต!L144+ยะลา!L144+ระนอง!L144+สงขลา!L144+สตูล!L144+สุราษฎร์ธานี!L144</f>
        <v>2418600</v>
      </c>
      <c r="M144" s="173">
        <f ca="1">กระบี่!M144+ชุมพร!M144+ตรัง!M144+นครศรีธรรมราช!M144+นราธิวาส!M144+ปัตตานี!M144+พังงา!M144+พัทลุง!M144+ภูเก็ต!M144+ยะลา!M144+ระนอง!M144+สงขลา!M144+สตูล!M144+สุราษฎร์ธานี!M144</f>
        <v>2018820</v>
      </c>
      <c r="N144" s="174">
        <f ca="1">กระบี่!N144+ชุมพร!N144+ตรัง!N144+นครศรีธรรมราช!N144+นราธิวาส!N144+ปัตตานี!N144+พังงา!N144+พัทลุง!N144+ภูเก็ต!N144+ยะลา!N144+ระนอง!N144+สงขลา!N144+สตูล!N144+สุราษฎร์ธานี!N144</f>
        <v>1431812.4</v>
      </c>
      <c r="O144" s="175">
        <f ca="1">IF(L144&gt;0,N144*100/L144,0)</f>
        <v>59.200049615480033</v>
      </c>
      <c r="P144" s="175">
        <f ca="1">IF(M144&gt;0,N144*100/M144,0)</f>
        <v>70.923232383273401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กระบี่!L145+ชุมพร!L145+ตรัง!L145+นครศรีธรรมราช!L145+นราธิวาส!L145+ปัตตานี!L145+พังงา!L145+พัทลุง!L145+ภูเก็ต!L145+ยะลา!L145+ระนอง!L145+สงขลา!L145+สตูล!L145+สุราษฎร์ธานี!L145</f>
        <v>1111500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กระบี่!L146+ชุมพร!L146+ตรัง!L146+นครศรีธรรมราช!L146+นราธิวาส!L146+ปัตตานี!L146+พังงา!L146+พัทลุง!L146+ภูเก็ต!L146+ยะลา!L146+ระนอง!L146+สงขลา!L146+สตูล!L146+สุราษฎร์ธานี!L146</f>
        <v>1307100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f>กระบี่!L147+ชุมพร!L147+ตรัง!L147+นครศรีธรรมราช!L147+นราธิวาส!L147+ปัตตานี!L147+พังงา!L147+พัทลุง!L147+ภูเก็ต!L147+ยะลา!L147+ระนอง!L147+สงขลา!L147+สตูล!L147+สุราษฎร์ธานี!L147</f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กระบี่!L148+ชุมพร!L148+ตรัง!L148+นครศรีธรรมราช!L148+นราธิวาส!L148+ปัตตานี!L148+พังงา!L148+พัทลุง!L148+ภูเก็ต!L148+ยะลา!L148+ระนอง!L148+สงขลา!L148+สตูล!L148+สุราษฎร์ธานี!L148</f>
        <v>0</v>
      </c>
      <c r="M148" s="101"/>
      <c r="N148" s="91">
        <f ca="1">กระบี่!N148+ชุมพร!N148+ตรัง!N148+นครศรีธรรมราช!N148+นราธิวาส!N148+ปัตตานี!N148+พังงา!N148+พัทลุง!N148+ภูเก็ต!N148+ยะลา!N148+ระนอง!N148+สงขลา!N148+สตูล!N148+สุราษฎร์ธานี!N148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กระบี่!I149+ชุมพร!I149+ตรัง!I149+นครศรีธรรมราช!I149+นราธิวาส!I149+ปัตตานี!I149+พังงา!I149+พัทลุง!I149+ภูเก็ต!I149+ยะลา!I149+ระนอง!I149+สงขลา!I149+สตูล!I149+สุราษฎร์ธานี!I149</f>
        <v>56</v>
      </c>
      <c r="J149" s="281">
        <f ca="1">กระบี่!J149+ชุมพร!J149+ตรัง!J149+นครศรีธรรมราช!J149+นราธิวาส!J149+ปัตตานี!J149+พังงา!J149+พัทลุง!J149+ภูเก็ต!J149+ยะลา!J149+ระนอง!J149+สงขลา!J149+สตูล!J149+สุราษฎร์ธานี!J149</f>
        <v>25</v>
      </c>
      <c r="K149" s="282">
        <f ca="1">IF(I149&gt;0,J149*100/I149,0)</f>
        <v>44.642857142857146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กระบี่!J154+ชุมพร!J154+ตรัง!J154+นครศรีธรรมราช!J154+นราธิวาส!J154+ปัตตานี!J154+พังงา!J154+พัทลุง!J154+ภูเก็ต!J154+ยะลา!J154+ระนอง!J154+สงขลา!J154+สตูล!J154+สุราษฎร์ธานี!J154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กระบี่!J155+ชุมพร!J155+ตรัง!J155+นครศรีธรรมราช!J155+นราธิวาส!J155+ปัตตานี!J155+พังงา!J155+พัทลุง!J155+ภูเก็ต!J155+ยะลา!J155+ระนอง!J155+สงขลา!J155+สตูล!J155+สุราษฎร์ธานี!J155</f>
        <v>14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กระบี่!J156+ชุมพร!J156+ตรัง!J156+นครศรีธรรมราช!J156+นราธิวาส!J156+ปัตตานี!J156+พังงา!J156+พัทลุง!J156+ภูเก็ต!J156+ยะลา!J156+ระนอง!J156+สงขลา!J156+สตูล!J156+สุราษฎร์ธานี!J156</f>
        <v>14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กระบี่!J157+ชุมพร!J157+ตรัง!J157+นครศรีธรรมราช!J157+นราธิวาส!J157+ปัตตานี!J157+พังงา!J157+พัทลุง!J157+ภูเก็ต!J157+ยะลา!J157+ระนอง!J157+สงขลา!J157+สตูล!J157+สุราษฎร์ธานี!J157</f>
        <v>14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กระบี่!I158+ชุมพร!I158+ตรัง!I158+นครศรีธรรมราช!I158+นราธิวาส!I158+ปัตตานี!I158+พังงา!I158+พัทลุง!I158+ภูเก็ต!I158+ยะลา!I158+ระนอง!I158+สงขลา!I158+สตูล!I158+สุราษฎร์ธานี!I158</f>
        <v>56</v>
      </c>
      <c r="J158" s="195">
        <f ca="1">กระบี่!J158+ชุมพร!J158+ตรัง!J158+นครศรีธรรมราช!J158+นราธิวาส!J158+ปัตตานี!J158+พังงา!J158+พัทลุง!J158+ภูเก็ต!J158+ยะลา!J158+ระนอง!J158+สงขลา!J158+สตูล!J158+สุราษฎร์ธานี!J158</f>
        <v>25</v>
      </c>
      <c r="K158" s="167">
        <f ca="1">IF(I158&gt;0,J158*100/I158,0)</f>
        <v>44.642857142857146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กระบี่!J159+ชุมพร!J159+ตรัง!J159+นครศรีธรรมราช!J159+นราธิวาส!J159+ปัตตานี!J159+พังงา!J159+พัทลุง!J159+ภูเก็ต!J159+ยะลา!J159+ระนอง!J159+สงขลา!J159+สตูล!J159+สุราษฎร์ธานี!J159</f>
        <v>815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กระบี่!J160+ชุมพร!J160+ตรัง!J160+นครศรีธรรมราช!J160+นราธิวาส!J160+ปัตตานี!J160+พังงา!J160+พัทลุง!J160+ภูเก็ต!J160+ยะลา!J160+ระนอง!J160+สงขลา!J160+สตูล!J160+สุราษฎร์ธานี!J160</f>
        <v>810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กระบี่!J161+ชุมพร!J161+ตรัง!J161+นครศรีธรรมราช!J161+นราธิวาส!J161+ปัตตานี!J161+พังงา!J161+พัทลุง!J161+ภูเก็ต!J161+ยะลา!J161+ระนอง!J161+สงขลา!J161+สตูล!J161+สุราษฎร์ธานี!J161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กระบี่!J162+ชุมพร!J162+ตรัง!J162+นครศรีธรรมราช!J162+นราธิวาส!J162+ปัตตานี!J162+พังงา!J162+พัทลุง!J162+ภูเก็ต!J162+ยะลา!J162+ระนอง!J162+สงขลา!J162+สตูล!J162+สุราษฎร์ธานี!J162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กระบี่!J163+ชุมพร!J163+ตรัง!J163+นครศรีธรรมราช!J163+นราธิวาส!J163+ปัตตานี!J163+พังงา!J163+พัทลุง!J163+ภูเก็ต!J163+ยะลา!J163+ระนอง!J163+สงขลา!J163+สตูล!J163+สุราษฎร์ธานี!J163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กระบี่!I164+ชุมพร!I164+ตรัง!I164+นครศรีธรรมราช!I164+นราธิวาส!I164+ปัตตานี!I164+พังงา!I164+พัทลุง!I164+ภูเก็ต!I164+ยะลา!I164+ระนอง!I164+สงขลา!I164+สตูล!I164+สุราษฎร์ธานี!I164</f>
        <v>35</v>
      </c>
      <c r="J164" s="290">
        <f ca="1">กระบี่!J164+ชุมพร!J164+ตรัง!J164+นครศรีธรรมราช!J164+นราธิวาส!J164+ปัตตานี!J164+พังงา!J164+พัทลุง!J164+ภูเก็ต!J164+ยะลา!J164+ระนอง!J164+สงขลา!J164+สตูล!J164+สุราษฎร์ธานี!J164</f>
        <v>32</v>
      </c>
      <c r="K164" s="291">
        <f ca="1">IF(I164&gt;0,J164*100/I164,0)</f>
        <v>91.428571428571431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กระบี่!J169+ชุมพร!J169+ตรัง!J169+นครศรีธรรมราช!J169+นราธิวาส!J169+ปัตตานี!J169+พังงา!J169+พัทลุง!J169+ภูเก็ต!J169+ยะลา!J169+ระนอง!J169+สงขลา!J169+สตูล!J169+สุราษฎร์ธานี!J169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>
        <f>กระบี่!I170+ชุมพร!I170+ตรัง!I170+นครศรีธรรมราช!I170+นราธิวาส!I170+ปัตตานี!I170+พังงา!I170+พัทลุง!I170+ภูเก็ต!I170+ยะลา!I170+ระนอง!I170+สงขลา!I170+สตูล!I170+สุราษฎร์ธานี!I170</f>
        <v>0</v>
      </c>
      <c r="J170" s="204">
        <f ca="1">กระบี่!J170+ชุมพร!J170+ตรัง!J170+นครศรีธรรมราช!J170+นราธิวาส!J170+ปัตตานี!J170+พังงา!J170+พัทลุง!J170+ภูเก็ต!J170+ยะลา!J170+ระนอง!J170+สงขลา!J170+สตูล!J170+สุราษฎร์ธานี!J170</f>
        <v>14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>
        <f>กระบี่!I171+ชุมพร!I171+ตรัง!I171+นครศรีธรรมราช!I171+นราธิวาส!I171+ปัตตานี!I171+พังงา!I171+พัทลุง!I171+ภูเก็ต!I171+ยะลา!I171+ระนอง!I171+สงขลา!I171+สตูล!I171+สุราษฎร์ธานี!I171</f>
        <v>0</v>
      </c>
      <c r="J171" s="204">
        <f ca="1">กระบี่!J171+ชุมพร!J171+ตรัง!J171+นครศรีธรรมราช!J171+นราธิวาส!J171+ปัตตานี!J171+พังงา!J171+พัทลุง!J171+ภูเก็ต!J171+ยะลา!J171+ระนอง!J171+สงขลา!J171+สตูล!J171+สุราษฎร์ธานี!J171</f>
        <v>14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>
        <f>กระบี่!I172+ชุมพร!I172+ตรัง!I172+นครศรีธรรมราช!I172+นราธิวาส!I172+ปัตตานี!I172+พังงา!I172+พัทลุง!I172+ภูเก็ต!I172+ยะลา!I172+ระนอง!I172+สงขลา!I172+สตูล!I172+สุราษฎร์ธานี!I172</f>
        <v>0</v>
      </c>
      <c r="J172" s="204">
        <f ca="1">กระบี่!J172+ชุมพร!J172+ตรัง!J172+นครศรีธรรมราช!J172+นราธิวาส!J172+ปัตตานี!J172+พังงา!J172+พัทลุง!J172+ภูเก็ต!J172+ยะลา!J172+ระนอง!J172+สงขลา!J172+สตูล!J172+สุราษฎร์ธานี!J172</f>
        <v>14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กระบี่!I173+ชุมพร!I173+ตรัง!I173+นครศรีธรรมราช!I173+นราธิวาส!I173+ปัตตานี!I173+พังงา!I173+พัทลุง!I173+ภูเก็ต!I173+ยะลา!I173+ระนอง!I173+สงขลา!I173+สตูล!I173+สุราษฎร์ธานี!I173</f>
        <v>35</v>
      </c>
      <c r="J173" s="195">
        <f ca="1">กระบี่!J173+ชุมพร!J173+ตรัง!J173+นครศรีธรรมราช!J173+นราธิวาส!J173+ปัตตานี!J173+พังงา!J173+พัทลุง!J173+ภูเก็ต!J173+ยะลา!J173+ระนอง!J173+สงขลา!J173+สตูล!J173+สุราษฎร์ธานี!J173</f>
        <v>32</v>
      </c>
      <c r="K173" s="167">
        <f ca="1">IF(I173&gt;0,J173*100/I173,0)</f>
        <v>91.428571428571431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>
        <f>กระบี่!I174+ชุมพร!I174+ตรัง!I174+นครศรีธรรมราช!I174+นราธิวาส!I174+ปัตตานี!I174+พังงา!I174+พัทลุง!I174+ภูเก็ต!I174+ยะลา!I174+ระนอง!I174+สงขลา!I174+สตูล!I174+สุราษฎร์ธานี!I174</f>
        <v>0</v>
      </c>
      <c r="J174" s="204">
        <f ca="1">กระบี่!J174+ชุมพร!J174+ตรัง!J174+นครศรีธรรมราช!J174+นราธิวาส!J174+ปัตตานี!J174+พังงา!J174+พัทลุง!J174+ภูเก็ต!J174+ยะลา!J174+ระนอง!J174+สงขลา!J174+สตูล!J174+สุราษฎร์ธานี!J174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>
        <f>กระบี่!I175+ชุมพร!I175+ตรัง!I175+นครศรีธรรมราช!I175+นราธิวาส!I175+ปัตตานี!I175+พังงา!I175+พัทลุง!I175+ภูเก็ต!I175+ยะลา!I175+ระนอง!I175+สงขลา!I175+สตูล!I175+สุราษฎร์ธานี!I175</f>
        <v>0</v>
      </c>
      <c r="J175" s="216">
        <f ca="1">กระบี่!J175+ชุมพร!J175+ตรัง!J175+นครศรีธรรมราช!J175+นราธิวาส!J175+ปัตตานี!J175+พังงา!J175+พัทลุง!J175+ภูเก็ต!J175+ยะลา!J175+ระนอง!J175+สงขลา!J175+สตูล!J175+สุราษฎร์ธานี!J175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กระบี่!I176+ชุมพร!I176+ตรัง!I176+นครศรีธรรมราช!I176+นราธิวาส!I176+ปัตตานี!I176+พังงา!I176+พัทลุง!I176+ภูเก็ต!I176+ยะลา!I176+ระนอง!I176+สงขลา!I176+สตูล!I176+สุราษฎร์ธานี!I176</f>
        <v>10</v>
      </c>
      <c r="J176" s="290">
        <f ca="1">กระบี่!J176+ชุมพร!J176+ตรัง!J176+นครศรีธรรมราช!J176+นราธิวาส!J176+ปัตตานี!J176+พังงา!J176+พัทลุง!J176+ภูเก็ต!J176+ยะลา!J176+ระนอง!J176+สงขลา!J176+สตูล!J176+สุราษฎร์ธานี!J176</f>
        <v>8</v>
      </c>
      <c r="K176" s="291">
        <f ca="1">IF(I176&gt;0,J176*100/I176,0)</f>
        <v>80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กระบี่!J181+ชุมพร!J181+ตรัง!J181+นครศรีธรรมราช!J181+นราธิวาส!J181+ปัตตานี!J181+พังงา!J181+พัทลุง!J181+ภูเก็ต!J181+ยะลา!J181+ระนอง!J181+สงขลา!J181+สตูล!J181+สุราษฎร์ธานี!J181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กระบี่!J182+ชุมพร!J182+ตรัง!J182+นครศรีธรรมราช!J182+นราธิวาส!J182+ปัตตานี!J182+พังงา!J182+พัทลุง!J182+ภูเก็ต!J182+ยะลา!J182+ระนอง!J182+สงขลา!J182+สตูล!J182+สุราษฎร์ธานี!J182</f>
        <v>3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กระบี่!J183+ชุมพร!J183+ตรัง!J183+นครศรีธรรมราช!J183+นราธิวาส!J183+ปัตตานี!J183+พังงา!J183+พัทลุง!J183+ภูเก็ต!J183+ยะลา!J183+ระนอง!J183+สงขลา!J183+สตูล!J183+สุราษฎร์ธานี!J183</f>
        <v>3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กระบี่!J184+ชุมพร!J184+ตรัง!J184+นครศรีธรรมราช!J184+นราธิวาส!J184+ปัตตานี!J184+พังงา!J184+พัทลุง!J184+ภูเก็ต!J184+ยะลา!J184+ระนอง!J184+สงขลา!J184+สตูล!J184+สุราษฎร์ธานี!J184</f>
        <v>3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กระบี่!I185+ชุมพร!I185+ตรัง!I185+นครศรีธรรมราช!I185+นราธิวาส!I185+ปัตตานี!I185+พังงา!I185+พัทลุง!I185+ภูเก็ต!I185+ยะลา!I185+ระนอง!I185+สงขลา!I185+สตูล!I185+สุราษฎร์ธานี!I185</f>
        <v>10</v>
      </c>
      <c r="J185" s="210">
        <f ca="1">กระบี่!J185+ชุมพร!J185+ตรัง!J185+นครศรีธรรมราช!J185+นราธิวาส!J185+ปัตตานี!J185+พังงา!J185+พัทลุง!J185+ภูเก็ต!J185+ยะลา!J185+ระนอง!J185+สงขลา!J185+สตูล!J185+สุราษฎร์ธานี!J185</f>
        <v>0</v>
      </c>
      <c r="K185" s="230">
        <f t="shared" ref="K185:K186" ca="1" si="55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กระบี่!I186+ชุมพร!I186+ตรัง!I186+นครศรีธรรมราช!I186+นราธิวาส!I186+ปัตตานี!I186+พังงา!I186+พัทลุง!I186+ภูเก็ต!I186+ยะลา!I186+ระนอง!I186+สงขลา!I186+สตูล!I186+สุราษฎร์ธานี!I186</f>
        <v>10</v>
      </c>
      <c r="J186" s="210">
        <f ca="1">กระบี่!J186+ชุมพร!J186+ตรัง!J186+นครศรีธรรมราช!J186+นราธิวาส!J186+ปัตตานี!J186+พังงา!J186+พัทลุง!J186+ภูเก็ต!J186+ยะลา!J186+ระนอง!J186+สงขลา!J186+สตูล!J186+สุราษฎร์ธานี!J186</f>
        <v>8</v>
      </c>
      <c r="K186" s="230">
        <f t="shared" ca="1" si="55"/>
        <v>80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กระบี่!J187+ชุมพร!J187+ตรัง!J187+นครศรีธรรมราช!J187+นราธิวาส!J187+ปัตตานี!J187+พังงา!J187+พัทลุง!J187+ภูเก็ต!J187+ยะลา!J187+ระนอง!J187+สงขลา!J187+สตูล!J187+สุราษฎร์ธานี!J187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กระบี่!J188+ชุมพร!J188+ตรัง!J188+นครศรีธรรมราช!J188+นราธิวาส!J188+ปัตตานี!J188+พังงา!J188+พัทลุง!J188+ภูเก็ต!J188+ยะลา!J188+ระนอง!J188+สงขลา!J188+สตูล!J188+สุราษฎร์ธานี!J188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กระบี่!I189+ชุมพร!I189+ตรัง!I189+นครศรีธรรมราช!I189+นราธิวาส!I189+ปัตตานี!I189+พังงา!I189+พัทลุง!I189+ภูเก็ต!I189+ยะลา!I189+ระนอง!I189+สงขลา!I189+สตูล!I189+สุราษฎร์ธานี!I189</f>
        <v>239000</v>
      </c>
      <c r="J189" s="290">
        <f ca="1">กระบี่!J189+ชุมพร!J189+ตรัง!J189+นครศรีธรรมราช!J189+นราธิวาส!J189+ปัตตานี!J189+พังงา!J189+พัทลุง!J189+ภูเก็ต!J189+ยะลา!J189+ระนอง!J189+สงขลา!J189+สตูล!J189+สุราษฎร์ธานี!J189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กระบี่!J194+ชุมพร!J194+ตรัง!J194+นครศรีธรรมราช!J194+นราธิวาส!J194+ปัตตานี!J194+พังงา!J194+พัทลุง!J194+ภูเก็ต!J194+ยะลา!J194+ระนอง!J194+สงขลา!J194+สตูล!J194+สุราษฎร์ธานี!J194</f>
        <v>3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กระบี่!J195+ชุมพร!J195+ตรัง!J195+นครศรีธรรมราช!J195+นราธิวาส!J195+ปัตตานี!J195+พังงา!J195+พัทลุง!J195+ภูเก็ต!J195+ยะลา!J195+ระนอง!J195+สงขลา!J195+สตูล!J195+สุราษฎร์ธานี!J195</f>
        <v>10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กระบี่!J196+ชุมพร!J196+ตรัง!J196+นครศรีธรรมราช!J196+นราธิวาส!J196+ปัตตานี!J196+พังงา!J196+พัทลุง!J196+ภูเก็ต!J196+ยะลา!J196+ระนอง!J196+สงขลา!J196+สตูล!J196+สุราษฎร์ธานี!J196</f>
        <v>9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กระบี่!J197+ชุมพร!J197+ตรัง!J197+นครศรีธรรมราช!J197+นราธิวาส!J197+ปัตตานี!J197+พังงา!J197+พัทลุง!J197+ภูเก็ต!J197+ยะลา!J197+ระนอง!J197+สงขลา!J197+สตูล!J197+สุราษฎร์ธานี!J197</f>
        <v>9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>
        <f>กระบี่!J198+ชุมพร!J198+ตรัง!J198+นครศรีธรรมราช!J198+นราธิวาส!J198+ปัตตานี!J198+พังงา!J198+พัทลุง!J198+ภูเก็ต!J198+ยะลา!J198+ระนอง!J198+สงขลา!J198+สตูล!J198+สุราษฎร์ธานี!J198</f>
        <v>0</v>
      </c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กระบี่!I199+ชุมพร!I199+ตรัง!I199+นครศรีธรรมราช!I199+นราธิวาส!I199+ปัตตานี!I199+พังงา!I199+พัทลุง!I199+ภูเก็ต!I199+ยะลา!I199+ระนอง!I199+สงขลา!I199+สตูล!I199+สุราษฎร์ธานี!I199</f>
        <v>239000</v>
      </c>
      <c r="J199" s="195">
        <f ca="1">กระบี่!J199+ชุมพร!J199+ตรัง!J199+นครศรีธรรมราช!J199+นราธิวาส!J199+ปัตตานี!J199+พังงา!J199+พัทลุง!J199+ภูเก็ต!J199+ยะลา!J199+ระนอง!J199+สงขลา!J199+สตูล!J199+สุราษฎร์ธานี!J199</f>
        <v>90000</v>
      </c>
      <c r="K199" s="167">
        <f t="shared" ref="K199:K201" ca="1" si="56">IF(I199&gt;0,J199*100/I199,0)</f>
        <v>37.656903765690373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กระบี่!I200+ชุมพร!I200+ตรัง!I200+นครศรีธรรมราช!I200+นราธิวาส!I200+ปัตตานี!I200+พังงา!I200+พัทลุง!I200+ภูเก็ต!I200+ยะลา!I200+ระนอง!I200+สงขลา!I200+สตูล!I200+สุราษฎร์ธานี!I200</f>
        <v>239000</v>
      </c>
      <c r="J200" s="195">
        <f ca="1">กระบี่!J200+ชุมพร!J200+ตรัง!J200+นครศรีธรรมราช!J200+นราธิวาส!J200+ปัตตานี!J200+พังงา!J200+พัทลุง!J200+ภูเก็ต!J200+ยะลา!J200+ระนอง!J200+สงขลา!J200+สตูล!J200+สุราษฎร์ธานี!J200</f>
        <v>0</v>
      </c>
      <c r="K200" s="167">
        <f t="shared" ca="1" si="56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กระบี่!I201+ชุมพร!I201+ตรัง!I201+นครศรีธรรมราช!I201+นราธิวาส!I201+ปัตตานี!I201+พังงา!I201+พัทลุง!I201+ภูเก็ต!I201+ยะลา!I201+ระนอง!I201+สงขลา!I201+สตูล!I201+สุราษฎร์ธานี!I201</f>
        <v>60</v>
      </c>
      <c r="J201" s="195">
        <f ca="1">กระบี่!J201+ชุมพร!J201+ตรัง!J201+นครศรีธรรมราช!J201+นราธิวาส!J201+ปัตตานี!J201+พังงา!J201+พัทลุง!J201+ภูเก็ต!J201+ยะลา!J201+ระนอง!J201+สงขลา!J201+สตูล!J201+สุราษฎร์ธานี!J201</f>
        <v>60</v>
      </c>
      <c r="K201" s="167">
        <f t="shared" ca="1" si="56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กระบี่!J202+ชุมพร!J202+ตรัง!J202+นครศรีธรรมราช!J202+นราธิวาส!J202+ปัตตานี!J202+พังงา!J202+พัทลุง!J202+ภูเก็ต!J202+ยะลา!J202+ระนอง!J202+สงขลา!J202+สตูล!J202+สุราษฎร์ธานี!J202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กระบี่!J203+ชุมพร!J203+ตรัง!J203+นครศรีธรรมราช!J203+นราธิวาส!J203+ปัตตานี!J203+พังงา!J203+พัทลุง!J203+ภูเก็ต!J203+ยะลา!J203+ระนอง!J203+สงขลา!J203+สตูล!J203+สุราษฎร์ธานี!J203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กระบี่!I204+ชุมพร!I204+ตรัง!I204+นครศรีธรรมราช!I204+นราธิวาส!I204+ปัตตานี!I204+พังงา!I204+พัทลุง!I204+ภูเก็ต!I204+ยะลา!I204+ระนอง!I204+สงขลา!I204+สตูล!I204+สุราษฎร์ธานี!I204</f>
        <v>100</v>
      </c>
      <c r="J204" s="290">
        <f ca="1">กระบี่!J204+ชุมพร!J204+ตรัง!J204+นครศรีธรรมราช!J204+นราธิวาส!J204+ปัตตานี!J204+พังงา!J204+พัทลุง!J204+ภูเก็ต!J204+ยะลา!J204+ระนอง!J204+สงขลา!J204+สตูล!J204+สุราษฎร์ธานี!J204</f>
        <v>72</v>
      </c>
      <c r="K204" s="291">
        <f ca="1">IF(I204&gt;0,J204*100/I204,0)</f>
        <v>72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กระบี่!J209+ชุมพร!J209+ตรัง!J209+นครศรีธรรมราช!J209+นราธิวาส!J209+ปัตตานี!J209+พังงา!J209+พัทลุง!J209+ภูเก็ต!J209+ยะลา!J209+ระนอง!J209+สงขลา!J209+สตูล!J209+สุราษฎร์ธานี!J209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กระบี่!J210+ชุมพร!J210+ตรัง!J210+นครศรีธรรมราช!J210+นราธิวาส!J210+ปัตตานี!J210+พังงา!J210+พัทลุง!J210+ภูเก็ต!J210+ยะลา!J210+ระนอง!J210+สงขลา!J210+สตูล!J210+สุราษฎร์ธานี!J210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กระบี่!J211+ชุมพร!J211+ตรัง!J211+นครศรีธรรมราช!J211+นราธิวาส!J211+ปัตตานี!J211+พังงา!J211+พัทลุง!J211+ภูเก็ต!J211+ยะลา!J211+ระนอง!J211+สงขลา!J211+สตูล!J211+สุราษฎร์ธานี!J211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กระบี่!J212+ชุมพร!J212+ตรัง!J212+นครศรีธรรมราช!J212+นราธิวาส!J212+ปัตตานี!J212+พังงา!J212+พัทลุง!J212+ภูเก็ต!J212+ยะลา!J212+ระนอง!J212+สงขลา!J212+สตูล!J212+สุราษฎร์ธานี!J212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กระบี่!I213+ชุมพร!I213+ตรัง!I213+นครศรีธรรมราช!I213+นราธิวาส!I213+ปัตตานี!I213+พังงา!I213+พัทลุง!I213+ภูเก็ต!I213+ยะลา!I213+ระนอง!I213+สงขลา!I213+สตูล!I213+สุราษฎร์ธานี!I213</f>
        <v>100</v>
      </c>
      <c r="J213" s="210">
        <f ca="1">กระบี่!J213+ชุมพร!J213+ตรัง!J213+นครศรีธรรมราช!J213+นราธิวาส!J213+ปัตตานี!J213+พังงา!J213+พัทลุง!J213+ภูเก็ต!J213+ยะลา!J213+ระนอง!J213+สงขลา!J213+สตูล!J213+สุราษฎร์ธานี!J213</f>
        <v>72</v>
      </c>
      <c r="K213" s="230">
        <f ca="1">IF(I213&gt;0,J213*100/I213,0)</f>
        <v>72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>
        <f>กระบี่!I214+ชุมพร!I214+ตรัง!I214+นครศรีธรรมราช!I214+นราธิวาส!I214+ปัตตานี!I214+พังงา!I214+พัทลุง!I214+ภูเก็ต!I214+ยะลา!I214+ระนอง!I214+สงขลา!I214+สตูล!I214+สุราษฎร์ธานี!I214</f>
        <v>0</v>
      </c>
      <c r="J214" s="194">
        <f>กระบี่!J214+ชุมพร!J214+ตรัง!J214+นครศรีธรรมราช!J214+นราธิวาส!J214+ปัตตานี!J214+พังงา!J214+พัทลุง!J214+ภูเก็ต!J214+ยะลา!J214+ระนอง!J214+สงขลา!J214+สตูล!J214+สุราษฎร์ธานี!J214</f>
        <v>0</v>
      </c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กระบี่!I215+ชุมพร!I215+ตรัง!I215+นครศรีธรรมราช!I215+นราธิวาส!I215+ปัตตานี!I215+พังงา!I215+พัทลุง!I215+ภูเก็ต!I215+ยะลา!I215+ระนอง!I215+สงขลา!I215+สตูล!I215+สุราษฎร์ธานี!I215</f>
        <v>0</v>
      </c>
      <c r="J215" s="210">
        <f ca="1">กระบี่!J215+ชุมพร!J215+ตรัง!J215+นครศรีธรรมราช!J215+นราธิวาส!J215+ปัตตานี!J215+พังงา!J215+พัทลุง!J215+ภูเก็ต!J215+ยะลา!J215+ระนอง!J215+สงขลา!J215+สตูล!J215+สุราษฎร์ธานี!J215</f>
        <v>0</v>
      </c>
      <c r="K215" s="230">
        <f t="shared" ref="K215:K216" ca="1" si="57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กระบี่!I216+ชุมพร!I216+ตรัง!I216+นครศรีธรรมราช!I216+นราธิวาส!I216+ปัตตานี!I216+พังงา!I216+พัทลุง!I216+ภูเก็ต!I216+ยะลา!I216+ระนอง!I216+สงขลา!I216+สตูล!I216+สุราษฎร์ธานี!I216</f>
        <v>6</v>
      </c>
      <c r="J216" s="210">
        <f ca="1">กระบี่!J216+ชุมพร!J216+ตรัง!J216+นครศรีธรรมราช!J216+นราธิวาส!J216+ปัตตานี!J216+พังงา!J216+พัทลุง!J216+ภูเก็ต!J216+ยะลา!J216+ระนอง!J216+สงขลา!J216+สตูล!J216+สุราษฎร์ธานี!J216</f>
        <v>0</v>
      </c>
      <c r="K216" s="230">
        <f t="shared" ca="1" si="57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กระบี่!J217+ชุมพร!J217+ตรัง!J217+นครศรีธรรมราช!J217+นราธิวาส!J217+ปัตตานี!J217+พังงา!J217+พัทลุง!J217+ภูเก็ต!J217+ยะลา!J217+ระนอง!J217+สงขลา!J217+สตูล!J217+สุราษฎร์ธานี!J217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กระบี่!J218+ชุมพร!J218+ตรัง!J218+นครศรีธรรมราช!J218+นราธิวาส!J218+ปัตตานี!J218+พังงา!J218+พัทลุง!J218+ภูเก็ต!J218+ยะลา!J218+ระนอง!J218+สงขลา!J218+สตูล!J218+สุราษฎร์ธานี!J218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กระบี่!I219+ชุมพร!I219+ตรัง!I219+นครศรีธรรมราช!I219+นราธิวาส!I219+ปัตตานี!I219+พังงา!I219+พัทลุง!I219+ภูเก็ต!I219+ยะลา!I219+ระนอง!I219+สงขลา!I219+สตูล!I219+สุราษฎร์ธานี!I219</f>
        <v>189</v>
      </c>
      <c r="J219" s="273">
        <f ca="1">กระบี่!J219+ชุมพร!J219+ตรัง!J219+นครศรีธรรมราช!J219+นราธิวาส!J219+ปัตตานี!J219+พังงา!J219+พัทลุง!J219+ภูเก็ต!J219+ยะลา!J219+ระนอง!J219+สงขลา!J219+สตูล!J219+สุราษฎร์ธานี!J219</f>
        <v>189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ca="1">กระบี่!L220+ชุมพร!L220+ตรัง!L220+นครศรีธรรมราช!L220+นราธิวาส!L220+ปัตตานี!L220+พังงา!L220+พัทลุง!L220+ภูเก็ต!L220+ยะลา!L220+ระนอง!L220+สงขลา!L220+สตูล!L220+สุราษฎร์ธานี!L220</f>
        <v>269135</v>
      </c>
      <c r="M220" s="156">
        <f ca="1">กระบี่!M220+ชุมพร!M220+ตรัง!M220+นครศรีธรรมราช!M220+นราธิวาส!M220+ปัตตานี!M220+พังงา!M220+พัทลุง!M220+ภูเก็ต!M220+ยะลา!M220+ระนอง!M220+สงขลา!M220+สตูล!M220+สุราษฎร์ธานี!M220</f>
        <v>269135</v>
      </c>
      <c r="N220" s="156">
        <f ca="1">กระบี่!N220+ชุมพร!N220+ตรัง!N220+นครศรีธรรมราช!N220+นราธิวาส!N220+ปัตตานี!N220+พังงา!N220+พัทลุง!N220+ภูเก็ต!N220+ยะลา!N220+ระนอง!N220+สงขลา!N220+สตูล!N220+สุราษฎร์ธานี!N220</f>
        <v>268685</v>
      </c>
      <c r="O220" s="155">
        <f t="shared" ref="O220:O222" ca="1" si="58">IF(L220&gt;0,N220*100/L220,0)</f>
        <v>99.832797666598552</v>
      </c>
      <c r="P220" s="155">
        <f t="shared" ref="P220:P222" ca="1" si="59">IF(M220&gt;0,N220*100/M220,0)</f>
        <v>99.832797666598552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>กระบี่!L221+ชุมพร!L221+ตรัง!L221+นครศรีธรรมราช!L221+นราธิวาส!L221+ปัตตานี!L221+พังงา!L221+พัทลุง!L221+ภูเก็ต!L221+ยะลา!L221+ระนอง!L221+สงขลา!L221+สตูล!L221+สุราษฎร์ธานี!L221</f>
        <v>0</v>
      </c>
      <c r="M221" s="161">
        <f>กระบี่!M221+ชุมพร!M221+ตรัง!M221+นครศรีธรรมราช!M221+นราธิวาส!M221+ปัตตานี!M221+พังงา!M221+พัทลุง!M221+ภูเก็ต!M221+ยะลา!M221+ระนอง!M221+สงขลา!M221+สตูล!M221+สุราษฎร์ธานี!M221</f>
        <v>0</v>
      </c>
      <c r="N221" s="161">
        <f>กระบี่!N221+ชุมพร!N221+ตรัง!N221+นครศรีธรรมราช!N221+นราธิวาส!N221+ปัตตานี!N221+พังงา!N221+พัทลุง!N221+ภูเก็ต!N221+ยะลา!N221+ระนอง!N221+สงขลา!N221+สตูล!N221+สุราษฎร์ธานี!N221</f>
        <v>0</v>
      </c>
      <c r="O221" s="160">
        <f t="shared" si="58"/>
        <v>0</v>
      </c>
      <c r="P221" s="160">
        <f t="shared" si="59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ca="1">กระบี่!L222+ชุมพร!L222+ตรัง!L222+นครศรีธรรมราช!L222+นราธิวาส!L222+ปัตตานี!L222+พังงา!L222+พัทลุง!L222+ภูเก็ต!L222+ยะลา!L222+ระนอง!L222+สงขลา!L222+สตูล!L222+สุราษฎร์ธานี!L222</f>
        <v>269135</v>
      </c>
      <c r="M222" s="161">
        <f ca="1">กระบี่!M222+ชุมพร!M222+ตรัง!M222+นครศรีธรรมราช!M222+นราธิวาส!M222+ปัตตานี!M222+พังงา!M222+พัทลุง!M222+ภูเก็ต!M222+ยะลา!M222+ระนอง!M222+สงขลา!M222+สตูล!M222+สุราษฎร์ธานี!M222</f>
        <v>269135</v>
      </c>
      <c r="N222" s="161">
        <f ca="1">กระบี่!N222+ชุมพร!N222+ตรัง!N222+นครศรีธรรมราช!N222+นราธิวาส!N222+ปัตตานี!N222+พังงา!N222+พัทลุง!N222+ภูเก็ต!N222+ยะลา!N222+ระนอง!N222+สงขลา!N222+สตูล!N222+สุราษฎร์ธานี!N222</f>
        <v>268685</v>
      </c>
      <c r="O222" s="160">
        <f t="shared" ca="1" si="58"/>
        <v>99.832797666598552</v>
      </c>
      <c r="P222" s="160">
        <f t="shared" ca="1" si="59"/>
        <v>99.832797666598552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f>กระบี่!L223+ชุมพร!L223+ตรัง!L223+นครศรีธรรมราช!L223+นราธิวาส!L223+ปัตตานี!L223+พังงา!L223+พัทลุง!L223+ภูเก็ต!L223+ยะลา!L223+ระนอง!L223+สงขลา!L223+สตูล!L223+สุราษฎร์ธานี!L223</f>
        <v>0</v>
      </c>
      <c r="M223" s="168">
        <f>กระบี่!M223+ชุมพร!M223+ตรัง!M223+นครศรีธรรมราช!M223+นราธิวาส!M223+ปัตตานี!M223+พังงา!M223+พัทลุง!M223+ภูเก็ต!M223+ยะลา!M223+ระนอง!M223+สงขลา!M223+สตูล!M223+สุราษฎร์ธานี!M223</f>
        <v>0</v>
      </c>
      <c r="N223" s="168">
        <f>กระบี่!N223+ชุมพร!N223+ตรัง!N223+นครศรีธรรมราช!N223+นราธิวาส!N223+ปัตตานี!N223+พังงา!N223+พัทลุง!N223+ภูเก็ต!N223+ยะลา!N223+ระนอง!N223+สงขลา!N223+สตูล!N223+สุราษฎร์ธานี!N223</f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กระบี่!L224+ชุมพร!L224+ตรัง!L224+นครศรีธรรมราช!L224+นราธิวาส!L224+ปัตตานี!L224+พังงา!L224+พัทลุง!L224+ภูเก็ต!L224+ยะลา!L224+ระนอง!L224+สงขลา!L224+สตูล!L224+สุราษฎร์ธานี!L224</f>
        <v>269135</v>
      </c>
      <c r="M224" s="173">
        <f ca="1">กระบี่!M224+ชุมพร!M224+ตรัง!M224+นครศรีธรรมราช!M224+นราธิวาส!M224+ปัตตานี!M224+พังงา!M224+พัทลุง!M224+ภูเก็ต!M224+ยะลา!M224+ระนอง!M224+สงขลา!M224+สตูล!M224+สุราษฎร์ธานี!M224</f>
        <v>269135</v>
      </c>
      <c r="N224" s="174">
        <f ca="1">กระบี่!N224+ชุมพร!N224+ตรัง!N224+นครศรีธรรมราช!N224+นราธิวาส!N224+ปัตตานี!N224+พังงา!N224+พัทลุง!N224+ภูเก็ต!N224+ยะลา!N224+ระนอง!N224+สงขลา!N224+สตูล!N224+สุราษฎร์ธานี!N224</f>
        <v>268685</v>
      </c>
      <c r="O224" s="175">
        <f ca="1">IF(L224&gt;0,N224*100/L224,0)</f>
        <v>99.832797666598552</v>
      </c>
      <c r="P224" s="175">
        <f ca="1">IF(M224&gt;0,N224*100/M224,0)</f>
        <v>99.832797666598552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กระบี่!L225+ชุมพร!L225+ตรัง!L225+นครศรีธรรมราช!L225+นราธิวาส!L225+ปัตตานี!L225+พังงา!L225+พัทลุง!L225+ภูเก็ต!L225+ยะลา!L225+ระนอง!L225+สงขลา!L225+สตูล!L225+สุราษฎร์ธานี!L225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กระบี่!L226+ชุมพร!L226+ตรัง!L226+นครศรีธรรมราช!L226+นราธิวาส!L226+ปัตตานี!L226+พังงา!L226+พัทลุง!L226+ภูเก็ต!L226+ยะลา!L226+ระนอง!L226+สงขลา!L226+สตูล!L226+สุราษฎร์ธานี!L226</f>
        <v>269135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f>กระบี่!L227+ชุมพร!L227+ตรัง!L227+นครศรีธรรมราช!L227+นราธิวาส!L227+ปัตตานี!L227+พังงา!L227+พัทลุง!L227+ภูเก็ต!L227+ยะลา!L227+ระนอง!L227+สงขลา!L227+สตูล!L227+สุราษฎร์ธานี!L227</f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กระบี่!L228+ชุมพร!L228+ตรัง!L228+นครศรีธรรมราช!L228+นราธิวาส!L228+ปัตตานี!L228+พังงา!L228+พัทลุง!L228+ภูเก็ต!L228+ยะลา!L228+ระนอง!L228+สงขลา!L228+สตูล!L228+สุราษฎร์ธานี!L228</f>
        <v>0</v>
      </c>
      <c r="M228" s="101"/>
      <c r="N228" s="91">
        <f ca="1">กระบี่!N228+ชุมพร!N228+ตรัง!N228+นครศรีธรรมราช!N228+นราธิวาส!N228+ปัตตานี!N228+พังงา!N228+พัทลุง!N228+ภูเก็ต!N228+ยะลา!N228+ระนอง!N228+สงขลา!N228+สตูล!N228+สุราษฎร์ธานี!N228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กระบี่!I229+ชุมพร!I229+ตรัง!I229+นครศรีธรรมราช!I229+นราธิวาส!I229+ปัตตานี!I229+พังงา!I229+พัทลุง!I229+ภูเก็ต!I229+ยะลา!I229+ระนอง!I229+สงขลา!I229+สตูล!I229+สุราษฎร์ธานี!I229</f>
        <v>189</v>
      </c>
      <c r="J229" s="273">
        <f ca="1">กระบี่!J229+ชุมพร!J229+ตรัง!J229+นครศรีธรรมราช!J229+นราธิวาส!J229+ปัตตานี!J229+พังงา!J229+พัทลุง!J229+ภูเก็ต!J229+ยะลา!J229+ระนอง!J229+สงขลา!J229+สตูล!J229+สุราษฎร์ธานี!J229</f>
        <v>189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กระบี่!J231+ชุมพร!J231+ตรัง!J231+นครศรีธรรมราช!J231+นราธิวาส!J231+ปัตตานี!J231+พังงา!J231+พัทลุง!J231+ภูเก็ต!J231+ยะลา!J231+ระนอง!J231+สงขลา!J231+สตูล!J231+สุราษฎร์ธานี!J231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กระบี่!J232+ชุมพร!J232+ตรัง!J232+นครศรีธรรมราช!J232+นราธิวาส!J232+ปัตตานี!J232+พังงา!J232+พัทลุง!J232+ภูเก็ต!J232+ยะลา!J232+ระนอง!J232+สงขลา!J232+สตูล!J232+สุราษฎร์ธานี!J232</f>
        <v>13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กระบี่!J233+ชุมพร!J233+ตรัง!J233+นครศรีธรรมราช!J233+นราธิวาส!J233+ปัตตานี!J233+พังงา!J233+พัทลุง!J233+ภูเก็ต!J233+ยะลา!J233+ระนอง!J233+สงขลา!J233+สตูล!J233+สุราษฎร์ธานี!J233</f>
        <v>13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กระบี่!J234+ชุมพร!J234+ตรัง!J234+นครศรีธรรมราช!J234+นราธิวาส!J234+ปัตตานี!J234+พังงา!J234+พัทลุง!J234+ภูเก็ต!J234+ยะลา!J234+ระนอง!J234+สงขลา!J234+สตูล!J234+สุราษฎร์ธานี!J234</f>
        <v>13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กระบี่!I235+ชุมพร!I235+ตรัง!I235+นครศรีธรรมราช!I235+นราธิวาส!I235+ปัตตานี!I235+พังงา!I235+พัทลุง!I235+ภูเก็ต!I235+ยะลา!I235+ระนอง!I235+สงขลา!I235+สตูล!I235+สุราษฎร์ธานี!I235</f>
        <v>189</v>
      </c>
      <c r="J235" s="195">
        <f ca="1">กระบี่!J235+ชุมพร!J235+ตรัง!J235+นครศรีธรรมราช!J235+นราธิวาส!J235+ปัตตานี!J235+พังงา!J235+พัทลุง!J235+ภูเก็ต!J235+ยะลา!J235+ระนอง!J235+สงขลา!J235+สตูล!J235+สุราษฎร์ธานี!J235</f>
        <v>189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กระบี่!J236+ชุมพร!J236+ตรัง!J236+นครศรีธรรมราช!J236+นราธิวาส!J236+ปัตตานี!J236+พังงา!J236+พัทลุง!J236+ภูเก็ต!J236+ยะลา!J236+ระนอง!J236+สงขลา!J236+สตูล!J236+สุราษฎร์ธานี!J236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กระบี่!J237+ชุมพร!J237+ตรัง!J237+นครศรีธรรมราช!J237+นราธิวาส!J237+ปัตตานี!J237+พังงา!J237+พัทลุง!J237+ภูเก็ต!J237+ยะลา!J237+ระนอง!J237+สงขลา!J237+สตูล!J237+สุราษฎร์ธานี!J237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กระบี่!I238+ชุมพร!I238+ตรัง!I238+นครศรีธรรมราช!I238+นราธิวาส!I238+ปัตตานี!I238+พังงา!I238+พัทลุง!I238+ภูเก็ต!I238+ยะลา!I238+ระนอง!I238+สงขลา!I238+สตูล!I238+สุราษฎร์ธานี!I238</f>
        <v>0</v>
      </c>
      <c r="J238" s="273">
        <f ca="1">กระบี่!J238+ชุมพร!J238+ตรัง!J238+นครศรีธรรมราช!J238+นราธิวาส!J238+ปัตตานี!J238+พังงา!J238+พัทลุง!J238+ภูเก็ต!J238+ยะลา!J238+ระนอง!J238+สงขลา!J238+สตูล!J238+สุราษฎร์ธานี!J238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IFERROR(__xludf.DUMMYFUNCTION("IMPORTRANGE(""https://docs.google.com/spreadsheets/d/1SX6NBoVAgQJ6U1MVXOaj8PK2l7WJ3RER9xtqwdhxkhw/edit?usp=sharing"",""กาญจนบุรี!J159"")"),"")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กระบี่!J241+ชุมพร!J241+ตรัง!J241+นครศรีธรรมราช!J241+นราธิวาส!J241+ปัตตานี!J241+พังงา!J241+พัทลุง!J241+ภูเก็ต!J241+ยะลา!J241+ระนอง!J241+สงขลา!J241+สตูล!J241+สุราษฎร์ธานี!J241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กระบี่!J242+ชุมพร!J242+ตรัง!J242+นครศรีธรรมราช!J242+นราธิวาส!J242+ปัตตานี!J242+พังงา!J242+พัทลุง!J242+ภูเก็ต!J242+ยะลา!J242+ระนอง!J242+สงขลา!J242+สตูล!J242+สุราษฎร์ธานี!J242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กระบี่!J243+ชุมพร!J243+ตรัง!J243+นครศรีธรรมราช!J243+นราธิวาส!J243+ปัตตานี!J243+พังงา!J243+พัทลุง!J243+ภูเก็ต!J243+ยะลา!J243+ระนอง!J243+สงขลา!J243+สตูล!J243+สุราษฎร์ธานี!J243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กระบี่!I244+ชุมพร!I244+ตรัง!I244+นครศรีธรรมราช!I244+นราธิวาส!I244+ปัตตานี!I244+พังงา!I244+พัทลุง!I244+ภูเก็ต!I244+ยะลา!I244+ระนอง!I244+สงขลา!I244+สตูล!I244+สุราษฎร์ธานี!I244</f>
        <v>0</v>
      </c>
      <c r="J244" s="194">
        <f ca="1">กระบี่!J244+ชุมพร!J244+ตรัง!J244+นครศรีธรรมราช!J244+นราธิวาส!J244+ปัตตานี!J244+พังงา!J244+พัทลุง!J244+ภูเก็ต!J244+ยะลา!J244+ระนอง!J244+สงขลา!J244+สตูล!J244+สุราษฎร์ธานี!J244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กระบี่!J245+ชุมพร!J245+ตรัง!J245+นครศรีธรรมราช!J245+นราธิวาส!J245+ปัตตานี!J245+พังงา!J245+พัทลุง!J245+ภูเก็ต!J245+ยะลา!J245+ระนอง!J245+สงขลา!J245+สตูล!J245+สุราษฎร์ธานี!J245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กระบี่!J246+ชุมพร!J246+ตรัง!J246+นครศรีธรรมราช!J246+นราธิวาส!J246+ปัตตานี!J246+พังงา!J246+พัทลุง!J246+ภูเก็ต!J246+ยะลา!J246+ระนอง!J246+สงขลา!J246+สตูล!J246+สุราษฎร์ธานี!J246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กระบี่!I249+ชุมพร!I249+ตรัง!I249+นครศรีธรรมราช!I249+นราธิวาส!I249+ปัตตานี!I249+พังงา!I249+พัทลุง!I249+ภูเก็ต!I249+ยะลา!I249+ระนอง!I249+สงขลา!I249+สตูล!I249+สุราษฎร์ธานี!I249</f>
        <v>85</v>
      </c>
      <c r="J249" s="322">
        <f ca="1">กระบี่!J249+ชุมพร!J249+ตรัง!J249+นครศรีธรรมราช!J249+นราธิวาส!J249+ปัตตานี!J249+พังงา!J249+พัทลุง!J249+ภูเก็ต!J249+ยะลา!J249+ระนอง!J249+สงขลา!J249+สตูล!J249+สุราษฎร์ธานี!J249</f>
        <v>85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ca="1">กระบี่!L250+ชุมพร!L250+ตรัง!L250+นครศรีธรรมราช!L250+นราธิวาส!L250+ปัตตานี!L250+พังงา!L250+พัทลุง!L250+ภูเก็ต!L250+ยะลา!L250+ระนอง!L250+สงขลา!L250+สตูล!L250+สุราษฎร์ธานี!L250</f>
        <v>435200</v>
      </c>
      <c r="M250" s="156">
        <f ca="1">กระบี่!M250+ชุมพร!M250+ตรัง!M250+นครศรีธรรมราช!M250+นราธิวาส!M250+ปัตตานี!M250+พังงา!M250+พัทลุง!M250+ภูเก็ต!M250+ยะลา!M250+ระนอง!M250+สงขลา!M250+สตูล!M250+สุราษฎร์ธานี!M250</f>
        <v>272500</v>
      </c>
      <c r="N250" s="156">
        <f ca="1">กระบี่!N250+ชุมพร!N250+ตรัง!N250+นครศรีธรรมราช!N250+นราธิวาส!N250+ปัตตานี!N250+พังงา!N250+พัทลุง!N250+ภูเก็ต!N250+ยะลา!N250+ระนอง!N250+สงขลา!N250+สตูล!N250+สุราษฎร์ธานี!N250</f>
        <v>179873.59999999998</v>
      </c>
      <c r="O250" s="155">
        <f t="shared" ref="O250:O252" ca="1" si="60">IF(L250&gt;0,N250*100/L250,0)</f>
        <v>41.33124999999999</v>
      </c>
      <c r="P250" s="155">
        <f t="shared" ref="P250:P252" ca="1" si="61">IF(M250&gt;0,N250*100/M250,0)</f>
        <v>66.0086605504587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>กระบี่!L251+ชุมพร!L251+ตรัง!L251+นครศรีธรรมราช!L251+นราธิวาส!L251+ปัตตานี!L251+พังงา!L251+พัทลุง!L251+ภูเก็ต!L251+ยะลา!L251+ระนอง!L251+สงขลา!L251+สตูล!L251+สุราษฎร์ธานี!L251</f>
        <v>0</v>
      </c>
      <c r="M251" s="161">
        <f>กระบี่!M251+ชุมพร!M251+ตรัง!M251+นครศรีธรรมราช!M251+นราธิวาส!M251+ปัตตานี!M251+พังงา!M251+พัทลุง!M251+ภูเก็ต!M251+ยะลา!M251+ระนอง!M251+สงขลา!M251+สตูล!M251+สุราษฎร์ธานี!M251</f>
        <v>0</v>
      </c>
      <c r="N251" s="161">
        <f>กระบี่!N251+ชุมพร!N251+ตรัง!N251+นครศรีธรรมราช!N251+นราธิวาส!N251+ปัตตานี!N251+พังงา!N251+พัทลุง!N251+ภูเก็ต!N251+ยะลา!N251+ระนอง!N251+สงขลา!N251+สตูล!N251+สุราษฎร์ธานี!N251</f>
        <v>0</v>
      </c>
      <c r="O251" s="160">
        <f t="shared" si="60"/>
        <v>0</v>
      </c>
      <c r="P251" s="160">
        <f t="shared" si="61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ca="1">กระบี่!L252+ชุมพร!L252+ตรัง!L252+นครศรีธรรมราช!L252+นราธิวาส!L252+ปัตตานี!L252+พังงา!L252+พัทลุง!L252+ภูเก็ต!L252+ยะลา!L252+ระนอง!L252+สงขลา!L252+สตูล!L252+สุราษฎร์ธานี!L252</f>
        <v>435200</v>
      </c>
      <c r="M252" s="161">
        <f ca="1">กระบี่!M252+ชุมพร!M252+ตรัง!M252+นครศรีธรรมราช!M252+นราธิวาส!M252+ปัตตานี!M252+พังงา!M252+พัทลุง!M252+ภูเก็ต!M252+ยะลา!M252+ระนอง!M252+สงขลา!M252+สตูล!M252+สุราษฎร์ธานี!M252</f>
        <v>272500</v>
      </c>
      <c r="N252" s="161">
        <f ca="1">กระบี่!N252+ชุมพร!N252+ตรัง!N252+นครศรีธรรมราช!N252+นราธิวาส!N252+ปัตตานี!N252+พังงา!N252+พัทลุง!N252+ภูเก็ต!N252+ยะลา!N252+ระนอง!N252+สงขลา!N252+สตูล!N252+สุราษฎร์ธานี!N252</f>
        <v>179873.59999999998</v>
      </c>
      <c r="O252" s="160">
        <f t="shared" ca="1" si="60"/>
        <v>41.33124999999999</v>
      </c>
      <c r="P252" s="160">
        <f t="shared" ca="1" si="61"/>
        <v>66.0086605504587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f>กระบี่!L253+ชุมพร!L253+ตรัง!L253+นครศรีธรรมราช!L253+นราธิวาส!L253+ปัตตานี!L253+พังงา!L253+พัทลุง!L253+ภูเก็ต!L253+ยะลา!L253+ระนอง!L253+สงขลา!L253+สตูล!L253+สุราษฎร์ธานี!L253</f>
        <v>0</v>
      </c>
      <c r="M253" s="168">
        <f>กระบี่!M253+ชุมพร!M253+ตรัง!M253+นครศรีธรรมราช!M253+นราธิวาส!M253+ปัตตานี!M253+พังงา!M253+พัทลุง!M253+ภูเก็ต!M253+ยะลา!M253+ระนอง!M253+สงขลา!M253+สตูล!M253+สุราษฎร์ธานี!M253</f>
        <v>0</v>
      </c>
      <c r="N253" s="168">
        <f>กระบี่!N253+ชุมพร!N253+ตรัง!N253+นครศรีธรรมราช!N253+นราธิวาส!N253+ปัตตานี!N253+พังงา!N253+พัทลุง!N253+ภูเก็ต!N253+ยะลา!N253+ระนอง!N253+สงขลา!N253+สตูล!N253+สุราษฎร์ธานี!N253</f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กระบี่!L254+ชุมพร!L254+ตรัง!L254+นครศรีธรรมราช!L254+นราธิวาส!L254+ปัตตานี!L254+พังงา!L254+พัทลุง!L254+ภูเก็ต!L254+ยะลา!L254+ระนอง!L254+สงขลา!L254+สตูล!L254+สุราษฎร์ธานี!L254</f>
        <v>435200</v>
      </c>
      <c r="M254" s="173">
        <f ca="1">กระบี่!M254+ชุมพร!M254+ตรัง!M254+นครศรีธรรมราช!M254+นราธิวาส!M254+ปัตตานี!M254+พังงา!M254+พัทลุง!M254+ภูเก็ต!M254+ยะลา!M254+ระนอง!M254+สงขลา!M254+สตูล!M254+สุราษฎร์ธานี!M254</f>
        <v>272500</v>
      </c>
      <c r="N254" s="174">
        <f ca="1">กระบี่!N254+ชุมพร!N254+ตรัง!N254+นครศรีธรรมราช!N254+นราธิวาส!N254+ปัตตานี!N254+พังงา!N254+พัทลุง!N254+ภูเก็ต!N254+ยะลา!N254+ระนอง!N254+สงขลา!N254+สตูล!N254+สุราษฎร์ธานี!N254</f>
        <v>179873.59999999998</v>
      </c>
      <c r="O254" s="175">
        <f ca="1">IF(L254&gt;0,N254*100/L254,0)</f>
        <v>41.33124999999999</v>
      </c>
      <c r="P254" s="175">
        <f ca="1">IF(M254&gt;0,N254*100/M254,0)</f>
        <v>66.0086605504587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กระบี่!L255+ชุมพร!L255+ตรัง!L255+นครศรีธรรมราช!L255+นราธิวาส!L255+ปัตตานี!L255+พังงา!L255+พัทลุง!L255+ภูเก็ต!L255+ยะลา!L255+ระนอง!L255+สงขลา!L255+สตูล!L255+สุราษฎร์ธานี!L255</f>
        <v>132000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กระบี่!L256+ชุมพร!L256+ตรัง!L256+นครศรีธรรมราช!L256+นราธิวาส!L256+ปัตตานี!L256+พังงา!L256+พัทลุง!L256+ภูเก็ต!L256+ยะลา!L256+ระนอง!L256+สงขลา!L256+สตูล!L256+สุราษฎร์ธานี!L256</f>
        <v>303200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f>กระบี่!L257+ชุมพร!L257+ตรัง!L257+นครศรีธรรมราช!L257+นราธิวาส!L257+ปัตตานี!L257+พังงา!L257+พัทลุง!L257+ภูเก็ต!L257+ยะลา!L257+ระนอง!L257+สงขลา!L257+สตูล!L257+สุราษฎร์ธานี!L257</f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กระบี่!L258+ชุมพร!L258+ตรัง!L258+นครศรีธรรมราช!L258+นราธิวาส!L258+ปัตตานี!L258+พังงา!L258+พัทลุง!L258+ภูเก็ต!L258+ยะลา!L258+ระนอง!L258+สงขลา!L258+สตูล!L258+สุราษฎร์ธานี!L258</f>
        <v>0</v>
      </c>
      <c r="M258" s="101"/>
      <c r="N258" s="91">
        <f ca="1">กระบี่!N258+ชุมพร!N258+ตรัง!N258+นครศรีธรรมราช!N258+นราธิวาส!N258+ปัตตานี!N258+พังงา!N258+พัทลุง!N258+ภูเก็ต!N258+ยะลา!N258+ระนอง!N258+สงขลา!N258+สตูล!N258+สุราษฎร์ธานี!N258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กระบี่!J260+ชุมพร!J260+ตรัง!J260+นครศรีธรรมราช!J260+นราธิวาส!J260+ปัตตานี!J260+พังงา!J260+พัทลุง!J260+ภูเก็ต!J260+ยะลา!J260+ระนอง!J260+สงขลา!J260+สตูล!J260+สุราษฎร์ธานี!J260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กระบี่!J261+ชุมพร!J261+ตรัง!J261+นครศรีธรรมราช!J261+นราธิวาส!J261+ปัตตานี!J261+พังงา!J261+พัทลุง!J261+ภูเก็ต!J261+ยะลา!J261+ระนอง!J261+สงขลา!J261+สตูล!J261+สุราษฎร์ธานี!J261</f>
        <v>4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กระบี่!J262+ชุมพร!J262+ตรัง!J262+นครศรีธรรมราช!J262+นราธิวาส!J262+ปัตตานี!J262+พังงา!J262+พัทลุง!J262+ภูเก็ต!J262+ยะลา!J262+ระนอง!J262+สงขลา!J262+สตูล!J262+สุราษฎร์ธานี!J262</f>
        <v>4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กระบี่!J263+ชุมพร!J263+ตรัง!J263+นครศรีธรรมราช!J263+นราธิวาส!J263+ปัตตานี!J263+พังงา!J263+พัทลุง!J263+ภูเก็ต!J263+ยะลา!J263+ระนอง!J263+สงขลา!J263+สตูล!J263+สุราษฎร์ธานี!J263</f>
        <v>4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กระบี่!I264+ชุมพร!I264+ตรัง!I264+นครศรีธรรมราช!I264+นราธิวาส!I264+ปัตตานี!I264+พังงา!I264+พัทลุง!I264+ภูเก็ต!I264+ยะลา!I264+ระนอง!I264+สงขลา!I264+สตูล!I264+สุราษฎร์ธานี!I264</f>
        <v>4</v>
      </c>
      <c r="J264" s="195">
        <f ca="1">กระบี่!J264+ชุมพร!J264+ตรัง!J264+นครศรีธรรมราช!J264+นราธิวาส!J264+ปัตตานี!J264+พังงา!J264+พัทลุง!J264+ภูเก็ต!J264+ยะลา!J264+ระนอง!J264+สงขลา!J264+สตูล!J264+สุราษฎร์ธานี!J264</f>
        <v>3</v>
      </c>
      <c r="K264" s="167">
        <f ca="1">IF(I264&gt;0,J264*100/I264,0)</f>
        <v>75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กระบี่!I265+ชุมพร!I265+ตรัง!I265+นครศรีธรรมราช!I265+นราธิวาส!I265+ปัตตานี!I265+พังงา!I265+พัทลุง!I265+ภูเก็ต!I265+ยะลา!I265+ระนอง!I265+สงขลา!I265+สตูล!I265+สุราษฎร์ธานี!I265</f>
        <v>85</v>
      </c>
      <c r="J265" s="195">
        <f ca="1">กระบี่!J265+ชุมพร!J265+ตรัง!J265+นครศรีธรรมราช!J265+นราธิวาส!J265+ปัตตานี!J265+พังงา!J265+พัทลุง!J265+ภูเก็ต!J265+ยะลา!J265+ระนอง!J265+สงขลา!J265+สตูล!J265+สุราษฎร์ธานี!J265</f>
        <v>85</v>
      </c>
      <c r="K265" s="167">
        <f ca="1">IF(I265&gt;0,J265*100/I265,0)</f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กระบี่!I266+ชุมพร!I266+ตรัง!I266+นครศรีธรรมราช!I266+นราธิวาส!I266+ปัตตานี!I266+พังงา!I266+พัทลุง!I266+ภูเก็ต!I266+ยะลา!I266+ระนอง!I266+สงขลา!I266+สตูล!I266+สุราษฎร์ธานี!I266</f>
        <v>85</v>
      </c>
      <c r="J266" s="195">
        <f ca="1">กระบี่!J266+ชุมพร!J266+ตรัง!J266+นครศรีธรรมราช!J266+นราธิวาส!J266+ปัตตานี!J266+พังงา!J266+พัทลุง!J266+ภูเก็ต!J266+ยะลา!J266+ระนอง!J266+สงขลา!J266+สตูล!J266+สุราษฎร์ธานี!J266</f>
        <v>0</v>
      </c>
      <c r="K266" s="167">
        <f ca="1">IF(I266&gt;0,J266*100/I266,0)</f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กระบี่!I267+ชุมพร!I267+ตรัง!I267+นครศรีธรรมราช!I267+นราธิวาส!I267+ปัตตานี!I267+พังงา!I267+พัทลุง!I267+ภูเก็ต!I267+ยะลา!I267+ระนอง!I267+สงขลา!I267+สตูล!I267+สุราษฎร์ธานี!I267</f>
        <v>4</v>
      </c>
      <c r="J267" s="195">
        <f ca="1">กระบี่!J267+ชุมพร!J267+ตรัง!J267+นครศรีธรรมราช!J267+นราธิวาส!J267+ปัตตานี!J267+พังงา!J267+พัทลุง!J267+ภูเก็ต!J267+ยะลา!J267+ระนอง!J267+สงขลา!J267+สตูล!J267+สุราษฎร์ธานี!J267</f>
        <v>3</v>
      </c>
      <c r="K267" s="167">
        <f ca="1">IF(I267&gt;0,J267*100/I267,0)</f>
        <v>75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กระบี่!J268+ชุมพร!J268+ตรัง!J268+นครศรีธรรมราช!J268+นราธิวาส!J268+ปัตตานี!J268+พังงา!J268+พัทลุง!J268+ภูเก็ต!J268+ยะลา!J268+ระนอง!J268+สงขลา!J268+สตูล!J268+สุราษฎร์ธานี!J268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กระบี่!J269+ชุมพร!J269+ตรัง!J269+นครศรีธรรมราช!J269+นราธิวาส!J269+ปัตตานี!J269+พังงา!J269+พัทลุง!J269+ภูเก็ต!J269+ยะลา!J269+ระนอง!J269+สงขลา!J269+สตูล!J269+สุราษฎร์ธานี!J269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กระบี่!I270+ชุมพร!I270+ตรัง!I270+นครศรีธรรมราช!I270+นราธิวาส!I270+ปัตตานี!I270+พังงา!I270+พัทลุง!I270+ภูเก็ต!I270+ยะลา!I270+ระนอง!I270+สงขลา!I270+สตูล!I270+สุราษฎร์ธานี!I270</f>
        <v>85</v>
      </c>
      <c r="J270" s="322">
        <f ca="1">กระบี่!J270+ชุมพร!J270+ตรัง!J270+นครศรีธรรมราช!J270+นราธิวาส!J270+ปัตตานี!J270+พังงา!J270+พัทลุง!J270+ภูเก็ต!J270+ยะลา!J270+ระนอง!J270+สงขลา!J270+สตูล!J270+สุราษฎร์ธานี!J270</f>
        <v>85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ca="1">กระบี่!L271+ชุมพร!L271+ตรัง!L271+นครศรีธรรมราช!L271+นราธิวาส!L271+ปัตตานี!L271+พังงา!L271+พัทลุง!L271+ภูเก็ต!L271+ยะลา!L271+ระนอง!L271+สงขลา!L271+สตูล!L271+สุราษฎร์ธานี!L271</f>
        <v>1192800</v>
      </c>
      <c r="M271" s="156">
        <f ca="1">กระบี่!M271+ชุมพร!M271+ตรัง!M271+นครศรีธรรมราช!M271+นราธิวาส!M271+ปัตตานี!M271+พังงา!M271+พัทลุง!M271+ภูเก็ต!M271+ยะลา!M271+ระนอง!M271+สงขลา!M271+สตูล!M271+สุราษฎร์ธานี!M271</f>
        <v>914950</v>
      </c>
      <c r="N271" s="156">
        <f ca="1">กระบี่!N271+ชุมพร!N271+ตรัง!N271+นครศรีธรรมราช!N271+นราธิวาส!N271+ปัตตานี!N271+พังงา!N271+พัทลุง!N271+ภูเก็ต!N271+ยะลา!N271+ระนอง!N271+สงขลา!N271+สตูล!N271+สุราษฎร์ธานี!N271</f>
        <v>485191</v>
      </c>
      <c r="O271" s="155">
        <f t="shared" ref="O271:O273" ca="1" si="62">IF(L271&gt;0,N271*100/L271,0)</f>
        <v>40.676643192488264</v>
      </c>
      <c r="P271" s="155">
        <f t="shared" ref="P271:P273" ca="1" si="63">IF(M271&gt;0,N271*100/M271,0)</f>
        <v>53.029236570304391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>กระบี่!L272+ชุมพร!L272+ตรัง!L272+นครศรีธรรมราช!L272+นราธิวาส!L272+ปัตตานี!L272+พังงา!L272+พัทลุง!L272+ภูเก็ต!L272+ยะลา!L272+ระนอง!L272+สงขลา!L272+สตูล!L272+สุราษฎร์ธานี!L272</f>
        <v>0</v>
      </c>
      <c r="M272" s="161">
        <f>กระบี่!M272+ชุมพร!M272+ตรัง!M272+นครศรีธรรมราช!M272+นราธิวาส!M272+ปัตตานี!M272+พังงา!M272+พัทลุง!M272+ภูเก็ต!M272+ยะลา!M272+ระนอง!M272+สงขลา!M272+สตูล!M272+สุราษฎร์ธานี!M272</f>
        <v>0</v>
      </c>
      <c r="N272" s="161">
        <f>กระบี่!N272+ชุมพร!N272+ตรัง!N272+นครศรีธรรมราช!N272+นราธิวาส!N272+ปัตตานี!N272+พังงา!N272+พัทลุง!N272+ภูเก็ต!N272+ยะลา!N272+ระนอง!N272+สงขลา!N272+สตูล!N272+สุราษฎร์ธานี!N272</f>
        <v>0</v>
      </c>
      <c r="O272" s="160">
        <f t="shared" si="62"/>
        <v>0</v>
      </c>
      <c r="P272" s="160">
        <f t="shared" si="63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ca="1">กระบี่!L273+ชุมพร!L273+ตรัง!L273+นครศรีธรรมราช!L273+นราธิวาส!L273+ปัตตานี!L273+พังงา!L273+พัทลุง!L273+ภูเก็ต!L273+ยะลา!L273+ระนอง!L273+สงขลา!L273+สตูล!L273+สุราษฎร์ธานี!L273</f>
        <v>1192800</v>
      </c>
      <c r="M273" s="161">
        <f ca="1">กระบี่!M273+ชุมพร!M273+ตรัง!M273+นครศรีธรรมราช!M273+นราธิวาส!M273+ปัตตานี!M273+พังงา!M273+พัทลุง!M273+ภูเก็ต!M273+ยะลา!M273+ระนอง!M273+สงขลา!M273+สตูล!M273+สุราษฎร์ธานี!M273</f>
        <v>914950</v>
      </c>
      <c r="N273" s="161">
        <f ca="1">กระบี่!N273+ชุมพร!N273+ตรัง!N273+นครศรีธรรมราช!N273+นราธิวาส!N273+ปัตตานี!N273+พังงา!N273+พัทลุง!N273+ภูเก็ต!N273+ยะลา!N273+ระนอง!N273+สงขลา!N273+สตูล!N273+สุราษฎร์ธานี!N273</f>
        <v>485191</v>
      </c>
      <c r="O273" s="160">
        <f t="shared" ca="1" si="62"/>
        <v>40.676643192488264</v>
      </c>
      <c r="P273" s="160">
        <f t="shared" ca="1" si="63"/>
        <v>53.029236570304391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f>กระบี่!L274+ชุมพร!L274+ตรัง!L274+นครศรีธรรมราช!L274+นราธิวาส!L274+ปัตตานี!L274+พังงา!L274+พัทลุง!L274+ภูเก็ต!L274+ยะลา!L274+ระนอง!L274+สงขลา!L274+สตูล!L274+สุราษฎร์ธานี!L274</f>
        <v>0</v>
      </c>
      <c r="M274" s="168">
        <f>กระบี่!M274+ชุมพร!M274+ตรัง!M274+นครศรีธรรมราช!M274+นราธิวาส!M274+ปัตตานี!M274+พังงา!M274+พัทลุง!M274+ภูเก็ต!M274+ยะลา!M274+ระนอง!M274+สงขลา!M274+สตูล!M274+สุราษฎร์ธานี!M274</f>
        <v>0</v>
      </c>
      <c r="N274" s="168">
        <f>กระบี่!N274+ชุมพร!N274+ตรัง!N274+นครศรีธรรมราช!N274+นราธิวาส!N274+ปัตตานี!N274+พังงา!N274+พัทลุง!N274+ภูเก็ต!N274+ยะลา!N274+ระนอง!N274+สงขลา!N274+สตูล!N274+สุราษฎร์ธานี!N274</f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กระบี่!L275+ชุมพร!L275+ตรัง!L275+นครศรีธรรมราช!L275+นราธิวาส!L275+ปัตตานี!L275+พังงา!L275+พัทลุง!L275+ภูเก็ต!L275+ยะลา!L275+ระนอง!L275+สงขลา!L275+สตูล!L275+สุราษฎร์ธานี!L275</f>
        <v>1192800</v>
      </c>
      <c r="M275" s="173">
        <f ca="1">กระบี่!M275+ชุมพร!M275+ตรัง!M275+นครศรีธรรมราช!M275+นราธิวาส!M275+ปัตตานี!M275+พังงา!M275+พัทลุง!M275+ภูเก็ต!M275+ยะลา!M275+ระนอง!M275+สงขลา!M275+สตูล!M275+สุราษฎร์ธานี!M275</f>
        <v>914950</v>
      </c>
      <c r="N275" s="174">
        <f ca="1">กระบี่!N275+ชุมพร!N275+ตรัง!N275+นครศรีธรรมราช!N275+นราธิวาส!N275+ปัตตานี!N275+พังงา!N275+พัทลุง!N275+ภูเก็ต!N275+ยะลา!N275+ระนอง!N275+สงขลา!N275+สตูล!N275+สุราษฎร์ธานี!N275</f>
        <v>485191</v>
      </c>
      <c r="O275" s="175">
        <f ca="1">IF(L275&gt;0,N275*100/L275,0)</f>
        <v>40.676643192488264</v>
      </c>
      <c r="P275" s="175">
        <f ca="1">IF(M275&gt;0,N275*100/M275,0)</f>
        <v>53.029236570304391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กระบี่!L276+ชุมพร!L276+ตรัง!L276+นครศรีธรรมราช!L276+นราธิวาส!L276+ปัตตานี!L276+พังงา!L276+พัทลุง!L276+ภูเก็ต!L276+ยะลา!L276+ระนอง!L276+สงขลา!L276+สตูล!L276+สุราษฎร์ธานี!L276</f>
        <v>660000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กระบี่!L277+ชุมพร!L277+ตรัง!L277+นครศรีธรรมราช!L277+นราธิวาส!L277+ปัตตานี!L277+พังงา!L277+พัทลุง!L277+ภูเก็ต!L277+ยะลา!L277+ระนอง!L277+สงขลา!L277+สตูล!L277+สุราษฎร์ธานี!L277</f>
        <v>532800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f>กระบี่!L278+ชุมพร!L278+ตรัง!L278+นครศรีธรรมราช!L278+นราธิวาส!L278+ปัตตานี!L278+พังงา!L278+พัทลุง!L278+ภูเก็ต!L278+ยะลา!L278+ระนอง!L278+สงขลา!L278+สตูล!L278+สุราษฎร์ธานี!L278</f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กระบี่!L279+ชุมพร!L279+ตรัง!L279+นครศรีธรรมราช!L279+นราธิวาส!L279+ปัตตานี!L279+พังงา!L279+พัทลุง!L279+ภูเก็ต!L279+ยะลา!L279+ระนอง!L279+สงขลา!L279+สตูล!L279+สุราษฎร์ธานี!L279</f>
        <v>0</v>
      </c>
      <c r="M279" s="101"/>
      <c r="N279" s="91">
        <f ca="1">กระบี่!N279+ชุมพร!N279+ตรัง!N279+นครศรีธรรมราช!N279+นราธิวาส!N279+ปัตตานี!N279+พังงา!N279+พัทลุง!N279+ภูเก็ต!N279+ยะลา!N279+ระนอง!N279+สงขลา!N279+สตูล!N279+สุราษฎร์ธานี!N279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กระบี่!J281+ชุมพร!J281+ตรัง!J281+นครศรีธรรมราช!J281+นราธิวาส!J281+ปัตตานี!J281+พังงา!J281+พัทลุง!J281+ภูเก็ต!J281+ยะลา!J281+ระนอง!J281+สงขลา!J281+สตูล!J281+สุราษฎร์ธานี!J281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กระบี่!J282+ชุมพร!J282+ตรัง!J282+นครศรีธรรมราช!J282+นราธิวาส!J282+ปัตตานี!J282+พังงา!J282+พัทลุง!J282+ภูเก็ต!J282+ยะลา!J282+ระนอง!J282+สงขลา!J282+สตูล!J282+สุราษฎร์ธานี!J282</f>
        <v>5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กระบี่!J283+ชุมพร!J283+ตรัง!J283+นครศรีธรรมราช!J283+นราธิวาส!J283+ปัตตานี!J283+พังงา!J283+พัทลุง!J283+ภูเก็ต!J283+ยะลา!J283+ระนอง!J283+สงขลา!J283+สตูล!J283+สุราษฎร์ธานี!J283</f>
        <v>5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กระบี่!J284+ชุมพร!J284+ตรัง!J284+นครศรีธรรมราช!J284+นราธิวาส!J284+ปัตตานี!J284+พังงา!J284+พัทลุง!J284+ภูเก็ต!J284+ยะลา!J284+ระนอง!J284+สงขลา!J284+สตูล!J284+สุราษฎร์ธานี!J284</f>
        <v>5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กระบี่!I285+ชุมพร!I285+ตรัง!I285+นครศรีธรรมราช!I285+นราธิวาส!I285+ปัตตานี!I285+พังงา!I285+พัทลุง!I285+ภูเก็ต!I285+ยะลา!I285+ระนอง!I285+สงขลา!I285+สตูล!I285+สุราษฎร์ธานี!I285</f>
        <v>85</v>
      </c>
      <c r="J285" s="195">
        <f ca="1">กระบี่!J285+ชุมพร!J285+ตรัง!J285+นครศรีธรรมราช!J285+นราธิวาส!J285+ปัตตานี!J285+พังงา!J285+พัทลุง!J285+ภูเก็ต!J285+ยะลา!J285+ระนอง!J285+สงขลา!J285+สตูล!J285+สุราษฎร์ธานี!J285</f>
        <v>85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กระบี่!J286+ชุมพร!J286+ตรัง!J286+นครศรีธรรมราช!J286+นราธิวาส!J286+ปัตตานี!J286+พังงา!J286+พัทลุง!J286+ภูเก็ต!J286+ยะลา!J286+ระนอง!J286+สงขลา!J286+สตูล!J286+สุราษฎร์ธานี!J286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กระบี่!J287+ชุมพร!J287+ตรัง!J287+นครศรีธรรมราช!J287+นราธิวาส!J287+ปัตตานี!J287+พังงา!J287+พัทลุง!J287+ภูเก็ต!J287+ยะลา!J287+ระนอง!J287+สงขลา!J287+สตูล!J287+สุราษฎร์ธานี!J287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กระบี่!I289+ชุมพร!I289+ตรัง!I289+นครศรีธรรมราช!I289+นราธิวาส!I289+ปัตตานี!I289+พังงา!I289+พัทลุง!I289+ภูเก็ต!I289+ยะลา!I289+ระนอง!I289+สงขลา!I289+สตูล!I289+สุราษฎร์ธานี!I289</f>
        <v>125</v>
      </c>
      <c r="J289" s="322">
        <f ca="1">กระบี่!J289+ชุมพร!J289+ตรัง!J289+นครศรีธรรมราช!J289+นราธิวาส!J289+ปัตตานี!J289+พังงา!J289+พัทลุง!J289+ภูเก็ต!J289+ยะลา!J289+ระนอง!J289+สงขลา!J289+สตูล!J289+สุราษฎร์ธานี!J289</f>
        <v>125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ca="1">กระบี่!L290+ชุมพร!L290+ตรัง!L290+นครศรีธรรมราช!L290+นราธิวาส!L290+ปัตตานี!L290+พังงา!L290+พัทลุง!L290+ภูเก็ต!L290+ยะลา!L290+ระนอง!L290+สงขลา!L290+สตูล!L290+สุราษฎร์ธานี!L290</f>
        <v>1027180</v>
      </c>
      <c r="M290" s="156">
        <f ca="1">กระบี่!M290+ชุมพร!M290+ตรัง!M290+นครศรีธรรมราช!M290+นราธิวาส!M290+ปัตตานี!M290+พังงา!M290+พัทลุง!M290+ภูเก็ต!M290+ยะลา!M290+ระนอง!M290+สงขลา!M290+สตูล!M290+สุราษฎร์ธานี!M290</f>
        <v>1027180</v>
      </c>
      <c r="N290" s="156">
        <f ca="1">กระบี่!N290+ชุมพร!N290+ตรัง!N290+นครศรีธรรมราช!N290+นราธิวาส!N290+ปัตตานี!N290+พังงา!N290+พัทลุง!N290+ภูเก็ต!N290+ยะลา!N290+ระนอง!N290+สงขลา!N290+สตูล!N290+สุราษฎร์ธานี!N290</f>
        <v>721262</v>
      </c>
      <c r="O290" s="155">
        <f t="shared" ref="O290:O292" ca="1" si="64">IF(L290&gt;0,N290*100/L290,0)</f>
        <v>70.217683366109156</v>
      </c>
      <c r="P290" s="155">
        <f t="shared" ref="P290:P292" ca="1" si="65">IF(M290&gt;0,N290*100/M290,0)</f>
        <v>70.217683366109156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>กระบี่!L291+ชุมพร!L291+ตรัง!L291+นครศรีธรรมราช!L291+นราธิวาส!L291+ปัตตานี!L291+พังงา!L291+พัทลุง!L291+ภูเก็ต!L291+ยะลา!L291+ระนอง!L291+สงขลา!L291+สตูล!L291+สุราษฎร์ธานี!L291</f>
        <v>0</v>
      </c>
      <c r="M291" s="161">
        <f>กระบี่!M291+ชุมพร!M291+ตรัง!M291+นครศรีธรรมราช!M291+นราธิวาส!M291+ปัตตานี!M291+พังงา!M291+พัทลุง!M291+ภูเก็ต!M291+ยะลา!M291+ระนอง!M291+สงขลา!M291+สตูล!M291+สุราษฎร์ธานี!M291</f>
        <v>0</v>
      </c>
      <c r="N291" s="161">
        <f>กระบี่!N291+ชุมพร!N291+ตรัง!N291+นครศรีธรรมราช!N291+นราธิวาส!N291+ปัตตานี!N291+พังงา!N291+พัทลุง!N291+ภูเก็ต!N291+ยะลา!N291+ระนอง!N291+สงขลา!N291+สตูล!N291+สุราษฎร์ธานี!N291</f>
        <v>0</v>
      </c>
      <c r="O291" s="160">
        <f t="shared" si="64"/>
        <v>0</v>
      </c>
      <c r="P291" s="160">
        <f t="shared" si="65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ca="1">กระบี่!L292+ชุมพร!L292+ตรัง!L292+นครศรีธรรมราช!L292+นราธิวาส!L292+ปัตตานี!L292+พังงา!L292+พัทลุง!L292+ภูเก็ต!L292+ยะลา!L292+ระนอง!L292+สงขลา!L292+สตูล!L292+สุราษฎร์ธานี!L292</f>
        <v>1027180</v>
      </c>
      <c r="M292" s="161">
        <f ca="1">กระบี่!M292+ชุมพร!M292+ตรัง!M292+นครศรีธรรมราช!M292+นราธิวาส!M292+ปัตตานี!M292+พังงา!M292+พัทลุง!M292+ภูเก็ต!M292+ยะลา!M292+ระนอง!M292+สงขลา!M292+สตูล!M292+สุราษฎร์ธานี!M292</f>
        <v>1027180</v>
      </c>
      <c r="N292" s="161">
        <f ca="1">กระบี่!N292+ชุมพร!N292+ตรัง!N292+นครศรีธรรมราช!N292+นราธิวาส!N292+ปัตตานี!N292+พังงา!N292+พัทลุง!N292+ภูเก็ต!N292+ยะลา!N292+ระนอง!N292+สงขลา!N292+สตูล!N292+สุราษฎร์ธานี!N292</f>
        <v>721262</v>
      </c>
      <c r="O292" s="160">
        <f t="shared" ca="1" si="64"/>
        <v>70.217683366109156</v>
      </c>
      <c r="P292" s="160">
        <f t="shared" ca="1" si="65"/>
        <v>70.217683366109156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f>กระบี่!L293+ชุมพร!L293+ตรัง!L293+นครศรีธรรมราช!L293+นราธิวาส!L293+ปัตตานี!L293+พังงา!L293+พัทลุง!L293+ภูเก็ต!L293+ยะลา!L293+ระนอง!L293+สงขลา!L293+สตูล!L293+สุราษฎร์ธานี!L293</f>
        <v>0</v>
      </c>
      <c r="M293" s="168">
        <f>กระบี่!M293+ชุมพร!M293+ตรัง!M293+นครศรีธรรมราช!M293+นราธิวาส!M293+ปัตตานี!M293+พังงา!M293+พัทลุง!M293+ภูเก็ต!M293+ยะลา!M293+ระนอง!M293+สงขลา!M293+สตูล!M293+สุราษฎร์ธานี!M293</f>
        <v>0</v>
      </c>
      <c r="N293" s="168">
        <f>กระบี่!N293+ชุมพร!N293+ตรัง!N293+นครศรีธรรมราช!N293+นราธิวาส!N293+ปัตตานี!N293+พังงา!N293+พัทลุง!N293+ภูเก็ต!N293+ยะลา!N293+ระนอง!N293+สงขลา!N293+สตูล!N293+สุราษฎร์ธานี!N293</f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กระบี่!L294+ชุมพร!L294+ตรัง!L294+นครศรีธรรมราช!L294+นราธิวาส!L294+ปัตตานี!L294+พังงา!L294+พัทลุง!L294+ภูเก็ต!L294+ยะลา!L294+ระนอง!L294+สงขลา!L294+สตูล!L294+สุราษฎร์ธานี!L294</f>
        <v>445180</v>
      </c>
      <c r="M294" s="173">
        <f ca="1">กระบี่!M294+ชุมพร!M294+ตรัง!M294+นครศรีธรรมราช!M294+นราธิวาส!M294+ปัตตานี!M294+พังงา!M294+พัทลุง!M294+ภูเก็ต!M294+ยะลา!M294+ระนอง!M294+สงขลา!M294+สตูล!M294+สุราษฎร์ธานี!M294</f>
        <v>445180</v>
      </c>
      <c r="N294" s="174">
        <f ca="1">กระบี่!N294+ชุมพร!N294+ตรัง!N294+นครศรีธรรมราช!N294+นราธิวาส!N294+ปัตตานี!N294+พังงา!N294+พัทลุง!N294+ภูเก็ต!N294+ยะลา!N294+ระนอง!N294+สงขลา!N294+สตูล!N294+สุราษฎร์ธานี!N294</f>
        <v>239262</v>
      </c>
      <c r="O294" s="175">
        <f ca="1">IF(L294&gt;0,N294*100/L294,0)</f>
        <v>53.745002021654159</v>
      </c>
      <c r="P294" s="175">
        <f ca="1">IF(M294&gt;0,N294*100/M294,0)</f>
        <v>53.745002021654159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กระบี่!L295+ชุมพร!L295+ตรัง!L295+นครศรีธรรมราช!L295+นราธิวาส!L295+ปัตตานี!L295+พังงา!L295+พัทลุง!L295+ภูเก็ต!L295+ยะลา!L295+ระนอง!L295+สงขลา!L295+สตูล!L295+สุราษฎร์ธานี!L295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กระบี่!L296+ชุมพร!L296+ตรัง!L296+นครศรีธรรมราช!L296+นราธิวาส!L296+ปัตตานี!L296+พังงา!L296+พัทลุง!L296+ภูเก็ต!L296+ยะลา!L296+ระนอง!L296+สงขลา!L296+สตูล!L296+สุราษฎร์ธานี!L296</f>
        <v>445180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f>กระบี่!L297+ชุมพร!L297+ตรัง!L297+นครศรีธรรมราช!L297+นราธิวาส!L297+ปัตตานี!L297+พังงา!L297+พัทลุง!L297+ภูเก็ต!L297+ยะลา!L297+ระนอง!L297+สงขลา!L297+สตูล!L297+สุราษฎร์ธานี!L297</f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กระบี่!L298+ชุมพร!L298+ตรัง!L298+นครศรีธรรมราช!L298+นราธิวาส!L298+ปัตตานี!L298+พังงา!L298+พัทลุง!L298+ภูเก็ต!L298+ยะลา!L298+ระนอง!L298+สงขลา!L298+สตูล!L298+สุราษฎร์ธานี!L298</f>
        <v>582000</v>
      </c>
      <c r="M298" s="101">
        <f ca="1">กระบี่!M298+ชุมพร!M298+ตรัง!M298+นครศรีธรรมราช!M298+นราธิวาส!M298+ปัตตานี!M298+พังงา!M298+พัทลุง!M298+ภูเก็ต!M298+ยะลา!M298+ระนอง!M298+สงขลา!M298+สตูล!M298+สุราษฎร์ธานี!M298</f>
        <v>582000</v>
      </c>
      <c r="N298" s="91">
        <f ca="1">กระบี่!N298+ชุมพร!N298+ตรัง!N298+นครศรีธรรมราช!N298+นราธิวาส!N298+ปัตตานี!N298+พังงา!N298+พัทลุง!N298+ภูเก็ต!N298+ยะลา!N298+ระนอง!N298+สงขลา!N298+สตูล!N298+สุราษฎร์ธานี!N298</f>
        <v>482000</v>
      </c>
      <c r="O298" s="101">
        <f ca="1">IF(L298&gt;0,N298*100/L298,0)</f>
        <v>82.817869415807564</v>
      </c>
      <c r="P298" s="101">
        <f ca="1">IF(M298&gt;0,N298*100/M298,0)</f>
        <v>82.817869415807564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กระบี่!J300+ชุมพร!J300+ตรัง!J300+นครศรีธรรมราช!J300+นราธิวาส!J300+ปัตตานี!J300+พังงา!J300+พัทลุง!J300+ภูเก็ต!J300+ยะลา!J300+ระนอง!J300+สงขลา!J300+สตูล!J300+สุราษฎร์ธานี!J300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กระบี่!J301+ชุมพร!J301+ตรัง!J301+นครศรีธรรมราช!J301+นราธิวาส!J301+ปัตตานี!J301+พังงา!J301+พัทลุง!J301+ภูเก็ต!J301+ยะลา!J301+ระนอง!J301+สงขลา!J301+สตูล!J301+สุราษฎร์ธานี!J301</f>
        <v>4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กระบี่!J302+ชุมพร!J302+ตรัง!J302+นครศรีธรรมราช!J302+นราธิวาส!J302+ปัตตานี!J302+พังงา!J302+พัทลุง!J302+ภูเก็ต!J302+ยะลา!J302+ระนอง!J302+สงขลา!J302+สตูล!J302+สุราษฎร์ธานี!J302</f>
        <v>4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กระบี่!J303+ชุมพร!J303+ตรัง!J303+นครศรีธรรมราช!J303+นราธิวาส!J303+ปัตตานี!J303+พังงา!J303+พัทลุง!J303+ภูเก็ต!J303+ยะลา!J303+ระนอง!J303+สงขลา!J303+สตูล!J303+สุราษฎร์ธานี!J303</f>
        <v>4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กระบี่!I304+ชุมพร!I304+ตรัง!I304+นครศรีธรรมราช!I304+นราธิวาส!I304+ปัตตานี!I304+พังงา!I304+พัทลุง!I304+ภูเก็ต!I304+ยะลา!I304+ระนอง!I304+สงขลา!I304+สตูล!I304+สุราษฎร์ธานี!I304</f>
        <v>125</v>
      </c>
      <c r="J304" s="210">
        <f ca="1">กระบี่!J304+ชุมพร!J304+ตรัง!J304+นครศรีธรรมราช!J304+นราธิวาส!J304+ปัตตานี!J304+พังงา!J304+พัทลุง!J304+ภูเก็ต!J304+ยะลา!J304+ระนอง!J304+สงขลา!J304+สตูล!J304+สุราษฎร์ธานี!J304</f>
        <v>125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กระบี่!I306+ชุมพร!I306+ตรัง!I306+นครศรีธรรมราช!I306+นราธิวาส!I306+ปัตตานี!I306+พังงา!I306+พัทลุง!I306+ภูเก็ต!I306+ยะลา!I306+ระนอง!I306+สงขลา!I306+สตูล!I306+สุราษฎร์ธานี!I306</f>
        <v>125</v>
      </c>
      <c r="J306" s="210">
        <f ca="1">กระบี่!J306+ชุมพร!J306+ตรัง!J306+นครศรีธรรมราช!J306+นราธิวาส!J306+ปัตตานี!J306+พังงา!J306+พัทลุง!J306+ภูเก็ต!J306+ยะลา!J306+ระนอง!J306+สงขลา!J306+สตูล!J306+สุราษฎร์ธานี!J306</f>
        <v>30</v>
      </c>
      <c r="K306" s="230">
        <f ca="1">IF(I306&gt;0,J306*100/I306,0)</f>
        <v>24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IFERROR(__xludf.DUMMYFUNCTION("IMPORTRANGE(""https://docs.google.com/spreadsheets/d/1SX6NBoVAgQJ6U1MVXOaj8PK2l7WJ3RER9xtqwdhxkhw/edit?usp=sharing"",""กาญจนบุรี!J212"")"),0)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กระบี่!J308+ชุมพร!J308+ตรัง!J308+นครศรีธรรมราช!J308+นราธิวาส!J308+ปัตตานี!J308+พังงา!J308+พัทลุง!J308+ภูเก็ต!J308+ยะลา!J308+ระนอง!J308+สงขลา!J308+สตูล!J308+สุราษฎร์ธานี!J308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กระบี่!I309+ชุมพร!I309+ตรัง!I309+นครศรีธรรมราช!I309+นราธิวาส!I309+ปัตตานี!I309+พังงา!I309+พัทลุง!I309+ภูเก็ต!I309+ยะลา!I309+ระนอง!I309+สงขลา!I309+สตูล!I309+สุราษฎร์ธานี!I309</f>
        <v>5</v>
      </c>
      <c r="J309" s="339">
        <f ca="1">กระบี่!J309+ชุมพร!J309+ตรัง!J309+นครศรีธรรมราช!J309+นราธิวาส!J309+ปัตตานี!J309+พังงา!J309+พัทลุง!J309+ภูเก็ต!J309+ยะลา!J309+ระนอง!J309+สงขลา!J309+สตูล!J309+สุราษฎร์ธานี!J309</f>
        <v>5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ca="1">กระบี่!L310+ชุมพร!L310+ตรัง!L310+นครศรีธรรมราช!L310+นราธิวาส!L310+ปัตตานี!L310+พังงา!L310+พัทลุง!L310+ภูเก็ต!L310+ยะลา!L310+ระนอง!L310+สงขลา!L310+สตูล!L310+สุราษฎร์ธานี!L310</f>
        <v>6921400</v>
      </c>
      <c r="M310" s="156">
        <f ca="1">กระบี่!M310+ชุมพร!M310+ตรัง!M310+นครศรีธรรมราช!M310+นราธิวาส!M310+ปัตตานี!M310+พังงา!M310+พัทลุง!M310+ภูเก็ต!M310+ยะลา!M310+ระนอง!M310+สงขลา!M310+สตูล!M310+สุราษฎร์ธานี!M310</f>
        <v>6824600</v>
      </c>
      <c r="N310" s="156">
        <f ca="1">กระบี่!N310+ชุมพร!N310+ตรัง!N310+นครศรีธรรมราช!N310+นราธิวาส!N310+ปัตตานี!N310+พังงา!N310+พัทลุง!N310+ภูเก็ต!N310+ยะลา!N310+ระนอง!N310+สงขลา!N310+สตูล!N310+สุราษฎร์ธานี!N310</f>
        <v>569899.57000000007</v>
      </c>
      <c r="O310" s="155">
        <f t="shared" ref="O310:O312" ca="1" si="66">IF(L310&gt;0,N310*100/L310,0)</f>
        <v>8.2338771057878475</v>
      </c>
      <c r="P310" s="155">
        <f t="shared" ref="P310:P312" ca="1" si="67">IF(M310&gt;0,N310*100/M310,0)</f>
        <v>8.3506662661547946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>กระบี่!L311+ชุมพร!L311+ตรัง!L311+นครศรีธรรมราช!L311+นราธิวาส!L311+ปัตตานี!L311+พังงา!L311+พัทลุง!L311+ภูเก็ต!L311+ยะลา!L311+ระนอง!L311+สงขลา!L311+สตูล!L311+สุราษฎร์ธานี!L311</f>
        <v>0</v>
      </c>
      <c r="M311" s="161">
        <f>กระบี่!M311+ชุมพร!M311+ตรัง!M311+นครศรีธรรมราช!M311+นราธิวาส!M311+ปัตตานี!M311+พังงา!M311+พัทลุง!M311+ภูเก็ต!M311+ยะลา!M311+ระนอง!M311+สงขลา!M311+สตูล!M311+สุราษฎร์ธานี!M311</f>
        <v>0</v>
      </c>
      <c r="N311" s="161">
        <f>กระบี่!N311+ชุมพร!N311+ตรัง!N311+นครศรีธรรมราช!N311+นราธิวาส!N311+ปัตตานี!N311+พังงา!N311+พัทลุง!N311+ภูเก็ต!N311+ยะลา!N311+ระนอง!N311+สงขลา!N311+สตูล!N311+สุราษฎร์ธานี!N311</f>
        <v>0</v>
      </c>
      <c r="O311" s="160">
        <f t="shared" si="66"/>
        <v>0</v>
      </c>
      <c r="P311" s="160">
        <f t="shared" si="67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ca="1">กระบี่!L312+ชุมพร!L312+ตรัง!L312+นครศรีธรรมราช!L312+นราธิวาส!L312+ปัตตานี!L312+พังงา!L312+พัทลุง!L312+ภูเก็ต!L312+ยะลา!L312+ระนอง!L312+สงขลา!L312+สตูล!L312+สุราษฎร์ธานี!L312</f>
        <v>6921400</v>
      </c>
      <c r="M312" s="161">
        <f ca="1">กระบี่!M312+ชุมพร!M312+ตรัง!M312+นครศรีธรรมราช!M312+นราธิวาส!M312+ปัตตานี!M312+พังงา!M312+พัทลุง!M312+ภูเก็ต!M312+ยะลา!M312+ระนอง!M312+สงขลา!M312+สตูล!M312+สุราษฎร์ธานี!M312</f>
        <v>6824600</v>
      </c>
      <c r="N312" s="161">
        <f ca="1">กระบี่!N312+ชุมพร!N312+ตรัง!N312+นครศรีธรรมราช!N312+นราธิวาส!N312+ปัตตานี!N312+พังงา!N312+พัทลุง!N312+ภูเก็ต!N312+ยะลา!N312+ระนอง!N312+สงขลา!N312+สตูล!N312+สุราษฎร์ธานี!N312</f>
        <v>569899.57000000007</v>
      </c>
      <c r="O312" s="160">
        <f t="shared" ca="1" si="66"/>
        <v>8.2338771057878475</v>
      </c>
      <c r="P312" s="160">
        <f t="shared" ca="1" si="67"/>
        <v>8.3506662661547946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f>กระบี่!L313+ชุมพร!L313+ตรัง!L313+นครศรีธรรมราช!L313+นราธิวาส!L313+ปัตตานี!L313+พังงา!L313+พัทลุง!L313+ภูเก็ต!L313+ยะลา!L313+ระนอง!L313+สงขลา!L313+สตูล!L313+สุราษฎร์ธานี!L313</f>
        <v>0</v>
      </c>
      <c r="M313" s="168">
        <f>กระบี่!M313+ชุมพร!M313+ตรัง!M313+นครศรีธรรมราช!M313+นราธิวาส!M313+ปัตตานี!M313+พังงา!M313+พัทลุง!M313+ภูเก็ต!M313+ยะลา!M313+ระนอง!M313+สงขลา!M313+สตูล!M313+สุราษฎร์ธานี!M313</f>
        <v>0</v>
      </c>
      <c r="N313" s="168">
        <f>กระบี่!N313+ชุมพร!N313+ตรัง!N313+นครศรีธรรมราช!N313+นราธิวาส!N313+ปัตตานี!N313+พังงา!N313+พัทลุง!N313+ภูเก็ต!N313+ยะลา!N313+ระนอง!N313+สงขลา!N313+สตูล!N313+สุราษฎร์ธานี!N313</f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กระบี่!L314+ชุมพร!L314+ตรัง!L314+นครศรีธรรมราช!L314+นราธิวาส!L314+ปัตตานี!L314+พังงา!L314+พัทลุง!L314+ภูเก็ต!L314+ยะลา!L314+ระนอง!L314+สงขลา!L314+สตูล!L314+สุราษฎร์ธานี!L314</f>
        <v>971400</v>
      </c>
      <c r="M314" s="173">
        <f ca="1">กระบี่!M314+ชุมพร!M314+ตรัง!M314+นครศรีธรรมราช!M314+นราธิวาส!M314+ปัตตานี!M314+พังงา!M314+พัทลุง!M314+ภูเก็ต!M314+ยะลา!M314+ระนอง!M314+สงขลา!M314+สตูล!M314+สุราษฎร์ธานี!M314</f>
        <v>874600</v>
      </c>
      <c r="N314" s="174">
        <f ca="1">กระบี่!N314+ชุมพร!N314+ตรัง!N314+นครศรีธรรมราช!N314+นราธิวาส!N314+ปัตตานี!N314+พังงา!N314+พัทลุง!N314+ภูเก็ต!N314+ยะลา!N314+ระนอง!N314+สงขลา!N314+สตูล!N314+สุราษฎร์ธานี!N314</f>
        <v>569899.57000000007</v>
      </c>
      <c r="O314" s="175">
        <f ca="1">IF(L314&gt;0,N314*100/L314,0)</f>
        <v>58.667857731109748</v>
      </c>
      <c r="P314" s="175">
        <f ca="1">IF(M314&gt;0,N314*100/M314,0)</f>
        <v>65.161167390807236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กระบี่!L315+ชุมพร!L315+ตรัง!L315+นครศรีธรรมราช!L315+นราธิวาส!L315+ปัตตานี!L315+พังงา!L315+พัทลุง!L315+ภูเก็ต!L315+ยะลา!L315+ระนอง!L315+สงขลา!L315+สตูล!L315+สุราษฎร์ธานี!L315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กระบี่!L316+ชุมพร!L316+ตรัง!L316+นครศรีธรรมราช!L316+นราธิวาส!L316+ปัตตานี!L316+พังงา!L316+พัทลุง!L316+ภูเก็ต!L316+ยะลา!L316+ระนอง!L316+สงขลา!L316+สตูล!L316+สุราษฎร์ธานี!L316</f>
        <v>971400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f>กระบี่!L317+ชุมพร!L317+ตรัง!L317+นครศรีธรรมราช!L317+นราธิวาส!L317+ปัตตานี!L317+พังงา!L317+พัทลุง!L317+ภูเก็ต!L317+ยะลา!L317+ระนอง!L317+สงขลา!L317+สตูล!L317+สุราษฎร์ธานี!L317</f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กระบี่!L318+ชุมพร!L318+ตรัง!L318+นครศรีธรรมราช!L318+นราธิวาส!L318+ปัตตานี!L318+พังงา!L318+พัทลุง!L318+ภูเก็ต!L318+ยะลา!L318+ระนอง!L318+สงขลา!L318+สตูล!L318+สุราษฎร์ธานี!L318</f>
        <v>5950000</v>
      </c>
      <c r="M318" s="101">
        <f ca="1">กระบี่!M318+ชุมพร!M318+ตรัง!M318+นครศรีธรรมราช!M318+นราธิวาส!M318+ปัตตานี!M318+พังงา!M318+พัทลุง!M318+ภูเก็ต!M318+ยะลา!M318+ระนอง!M318+สงขลา!M318+สตูล!M318+สุราษฎร์ธานี!M318</f>
        <v>5950000</v>
      </c>
      <c r="N318" s="91">
        <f ca="1">กระบี่!N318+ชุมพร!N318+ตรัง!N318+นครศรีธรรมราช!N318+นราธิวาส!N318+ปัตตานี!N318+พังงา!N318+พัทลุง!N318+ภูเก็ต!N318+ยะลา!N318+ระนอง!N318+สงขลา!N318+สตูล!N318+สุราษฎร์ธานี!N318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กระบี่!J320+ชุมพร!J320+ตรัง!J320+นครศรีธรรมราช!J320+นราธิวาส!J320+ปัตตานี!J320+พังงา!J320+พัทลุง!J320+ภูเก็ต!J320+ยะลา!J320+ระนอง!J320+สงขลา!J320+สตูล!J320+สุราษฎร์ธานี!J320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กระบี่!J321+ชุมพร!J321+ตรัง!J321+นครศรีธรรมราช!J321+นราธิวาส!J321+ปัตตานี!J321+พังงา!J321+พัทลุง!J321+ภูเก็ต!J321+ยะลา!J321+ระนอง!J321+สงขลา!J321+สตูล!J321+สุราษฎร์ธานี!J321</f>
        <v>4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กระบี่!J322+ชุมพร!J322+ตรัง!J322+นครศรีธรรมราช!J322+นราธิวาส!J322+ปัตตานี!J322+พังงา!J322+พัทลุง!J322+ภูเก็ต!J322+ยะลา!J322+ระนอง!J322+สงขลา!J322+สตูล!J322+สุราษฎร์ธานี!J322</f>
        <v>4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กระบี่!J323+ชุมพร!J323+ตรัง!J323+นครศรีธรรมราช!J323+นราธิวาส!J323+ปัตตานี!J323+พังงา!J323+พัทลุง!J323+ภูเก็ต!J323+ยะลา!J323+ระนอง!J323+สงขลา!J323+สตูล!J323+สุราษฎร์ธานี!J323</f>
        <v>4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กระบี่!I324+ชุมพร!I324+ตรัง!I324+นครศรีธรรมราช!I324+นราธิวาส!I324+ปัตตานี!I324+พังงา!I324+พัทลุง!I324+ภูเก็ต!I324+ยะลา!I324+ระนอง!I324+สงขลา!I324+สตูล!I324+สุราษฎร์ธานี!I324</f>
        <v>5</v>
      </c>
      <c r="J324" s="210">
        <f ca="1">กระบี่!J324+ชุมพร!J324+ตรัง!J324+นครศรีธรรมราช!J324+นราธิวาส!J324+ปัตตานี!J324+พังงา!J324+พัทลุง!J324+ภูเก็ต!J324+ยะลา!J324+ระนอง!J324+สงขลา!J324+สตูล!J324+สุราษฎร์ธานี!J324</f>
        <v>5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กระบี่!J325+ชุมพร!J325+ตรัง!J325+นครศรีธรรมราช!J325+นราธิวาส!J325+ปัตตานี!J325+พังงา!J325+พัทลุง!J325+ภูเก็ต!J325+ยะลา!J325+ระนอง!J325+สงขลา!J325+สตูล!J325+สุราษฎร์ธานี!J325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กระบี่!J326+ชุมพร!J326+ตรัง!J326+นครศรีธรรมราช!J326+นราธิวาส!J326+ปัตตานี!J326+พังงา!J326+พัทลุง!J326+ภูเก็ต!J326+ยะลา!J326+ระนอง!J326+สงขลา!J326+สตูล!J326+สุราษฎร์ธานี!J326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กระบี่!I328+ชุมพร!I328+ตรัง!I328+นครศรีธรรมราช!I328+นราธิวาส!I328+ปัตตานี!I328+พังงา!I328+พัทลุง!I328+ภูเก็ต!I328+ยะลา!I328+ระนอง!I328+สงขลา!I328+สตูล!I328+สุราษฎร์ธานี!I328</f>
        <v>2553</v>
      </c>
      <c r="J328" s="345">
        <f ca="1">กระบี่!J328+ชุมพร!J328+ตรัง!J328+นครศรีธรรมราช!J328+นราธิวาส!J328+ปัตตานี!J328+พังงา!J328+พัทลุง!J328+ภูเก็ต!J328+ยะลา!J328+ระนอง!J328+สงขลา!J328+สตูล!J328+สุราษฎร์ธานี!J328</f>
        <v>1438</v>
      </c>
      <c r="K328" s="323">
        <f ca="1">IF(I328&gt;0,J328*100/I328,0)</f>
        <v>56.325891108499803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ca="1">กระบี่!L329+ชุมพร!L329+ตรัง!L329+นครศรีธรรมราช!L329+นราธิวาส!L329+ปัตตานี!L329+พังงา!L329+พัทลุง!L329+ภูเก็ต!L329+ยะลา!L329+ระนอง!L329+สงขลา!L329+สตูล!L329+สุราษฎร์ธานี!L329</f>
        <v>12918830</v>
      </c>
      <c r="M329" s="156">
        <f ca="1">กระบี่!M329+ชุมพร!M329+ตรัง!M329+นครศรีธรรมราช!M329+นราธิวาส!M329+ปัตตานี!M329+พังงา!M329+พัทลุง!M329+ภูเก็ต!M329+ยะลา!M329+ระนอง!M329+สงขลา!M329+สตูล!M329+สุราษฎร์ธานี!M329</f>
        <v>9966270</v>
      </c>
      <c r="N329" s="156">
        <f ca="1">กระบี่!N329+ชุมพร!N329+ตรัง!N329+นครศรีธรรมราช!N329+นราธิวาส!N329+ปัตตานี!N329+พังงา!N329+พัทลุง!N329+ภูเก็ต!N329+ยะลา!N329+ระนอง!N329+สงขลา!N329+สตูล!N329+สุราษฎร์ธานี!N329</f>
        <v>6845420.1899999995</v>
      </c>
      <c r="O329" s="155">
        <f t="shared" ref="O329:O331" ca="1" si="68">IF(L329&gt;0,N329*100/L329,0)</f>
        <v>52.987926847864706</v>
      </c>
      <c r="P329" s="155">
        <f t="shared" ref="P329:P331" ca="1" si="69">IF(M329&gt;0,N329*100/M329,0)</f>
        <v>68.685879371118787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>กระบี่!L330+ชุมพร!L330+ตรัง!L330+นครศรีธรรมราช!L330+นราธิวาส!L330+ปัตตานี!L330+พังงา!L330+พัทลุง!L330+ภูเก็ต!L330+ยะลา!L330+ระนอง!L330+สงขลา!L330+สตูล!L330+สุราษฎร์ธานี!L330</f>
        <v>0</v>
      </c>
      <c r="M330" s="161">
        <f>กระบี่!M330+ชุมพร!M330+ตรัง!M330+นครศรีธรรมราช!M330+นราธิวาส!M330+ปัตตานี!M330+พังงา!M330+พัทลุง!M330+ภูเก็ต!M330+ยะลา!M330+ระนอง!M330+สงขลา!M330+สตูล!M330+สุราษฎร์ธานี!M330</f>
        <v>0</v>
      </c>
      <c r="N330" s="161">
        <f>กระบี่!N330+ชุมพร!N330+ตรัง!N330+นครศรีธรรมราช!N330+นราธิวาส!N330+ปัตตานี!N330+พังงา!N330+พัทลุง!N330+ภูเก็ต!N330+ยะลา!N330+ระนอง!N330+สงขลา!N330+สตูล!N330+สุราษฎร์ธานี!N330</f>
        <v>0</v>
      </c>
      <c r="O330" s="160">
        <f t="shared" si="68"/>
        <v>0</v>
      </c>
      <c r="P330" s="160">
        <f t="shared" si="69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ca="1">กระบี่!L331+ชุมพร!L331+ตรัง!L331+นครศรีธรรมราช!L331+นราธิวาส!L331+ปัตตานี!L331+พังงา!L331+พัทลุง!L331+ภูเก็ต!L331+ยะลา!L331+ระนอง!L331+สงขลา!L331+สตูล!L331+สุราษฎร์ธานี!L331</f>
        <v>12918830</v>
      </c>
      <c r="M331" s="161">
        <f ca="1">กระบี่!M331+ชุมพร!M331+ตรัง!M331+นครศรีธรรมราช!M331+นราธิวาส!M331+ปัตตานี!M331+พังงา!M331+พัทลุง!M331+ภูเก็ต!M331+ยะลา!M331+ระนอง!M331+สงขลา!M331+สตูล!M331+สุราษฎร์ธานี!M331</f>
        <v>9966270</v>
      </c>
      <c r="N331" s="161">
        <f ca="1">กระบี่!N331+ชุมพร!N331+ตรัง!N331+นครศรีธรรมราช!N331+นราธิวาส!N331+ปัตตานี!N331+พังงา!N331+พัทลุง!N331+ภูเก็ต!N331+ยะลา!N331+ระนอง!N331+สงขลา!N331+สตูล!N331+สุราษฎร์ธานี!N331</f>
        <v>6845420.1899999995</v>
      </c>
      <c r="O331" s="160">
        <f t="shared" ca="1" si="68"/>
        <v>52.987926847864706</v>
      </c>
      <c r="P331" s="160">
        <f t="shared" ca="1" si="69"/>
        <v>68.685879371118787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f>กระบี่!L332+ชุมพร!L332+ตรัง!L332+นครศรีธรรมราช!L332+นราธิวาส!L332+ปัตตานี!L332+พังงา!L332+พัทลุง!L332+ภูเก็ต!L332+ยะลา!L332+ระนอง!L332+สงขลา!L332+สตูล!L332+สุราษฎร์ธานี!L332</f>
        <v>0</v>
      </c>
      <c r="M332" s="168">
        <f>กระบี่!M332+ชุมพร!M332+ตรัง!M332+นครศรีธรรมราช!M332+นราธิวาส!M332+ปัตตานี!M332+พังงา!M332+พัทลุง!M332+ภูเก็ต!M332+ยะลา!M332+ระนอง!M332+สงขลา!M332+สตูล!M332+สุราษฎร์ธานี!M332</f>
        <v>0</v>
      </c>
      <c r="N332" s="168">
        <f>กระบี่!N332+ชุมพร!N332+ตรัง!N332+นครศรีธรรมราช!N332+นราธิวาส!N332+ปัตตานี!N332+พังงา!N332+พัทลุง!N332+ภูเก็ต!N332+ยะลา!N332+ระนอง!N332+สงขลา!N332+สตูล!N332+สุราษฎร์ธานี!N332</f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กระบี่!L333+ชุมพร!L333+ตรัง!L333+นครศรีธรรมราช!L333+นราธิวาส!L333+ปัตตานี!L333+พังงา!L333+พัทลุง!L333+ภูเก็ต!L333+ยะลา!L333+ระนอง!L333+สงขลา!L333+สตูล!L333+สุราษฎร์ธานี!L333</f>
        <v>11889260</v>
      </c>
      <c r="M333" s="173">
        <f ca="1">กระบี่!M333+ชุมพร!M333+ตรัง!M333+นครศรีธรรมราช!M333+นราธิวาส!M333+ปัตตานี!M333+พังงา!M333+พัทลุง!M333+ภูเก็ต!M333+ยะลา!M333+ระนอง!M333+สงขลา!M333+สตูล!M333+สุราษฎร์ธานี!M333</f>
        <v>8936700</v>
      </c>
      <c r="N333" s="174">
        <f ca="1">กระบี่!N333+ชุมพร!N333+ตรัง!N333+นครศรีธรรมราช!N333+นราธิวาส!N333+ปัตตานี!N333+พังงา!N333+พัทลุง!N333+ภูเก็ต!N333+ยะลา!N333+ระนอง!N333+สงขลา!N333+สตูล!N333+สุราษฎร์ธานี!N333</f>
        <v>5815850.1899999995</v>
      </c>
      <c r="O333" s="175">
        <f ca="1">IF(L333&gt;0,N333*100/L333,0)</f>
        <v>48.916839147264</v>
      </c>
      <c r="P333" s="175">
        <f ca="1">IF(M333&gt;0,N333*100/M333,0)</f>
        <v>65.078274866561486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กระบี่!L334+ชุมพร!L334+ตรัง!L334+นครศรีธรรมราช!L334+นราธิวาส!L334+ปัตตานี!L334+พังงา!L334+พัทลุง!L334+ภูเก็ต!L334+ยะลา!L334+ระนอง!L334+สงขลา!L334+สตูล!L334+สุราษฎร์ธานี!L334</f>
        <v>6929700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กระบี่!L335+ชุมพร!L335+ตรัง!L335+นครศรีธรรมราช!L335+นราธิวาส!L335+ปัตตานี!L335+พังงา!L335+พัทลุง!L335+ภูเก็ต!L335+ยะลา!L335+ระนอง!L335+สงขลา!L335+สตูล!L335+สุราษฎร์ธานี!L335</f>
        <v>4959560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f>กระบี่!L336+ชุมพร!L336+ตรัง!L336+นครศรีธรรมราช!L336+นราธิวาส!L336+ปัตตานี!L336+พังงา!L336+พัทลุง!L336+ภูเก็ต!L336+ยะลา!L336+ระนอง!L336+สงขลา!L336+สตูล!L336+สุราษฎร์ธานี!L336</f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กระบี่!L337+ชุมพร!L337+ตรัง!L337+นครศรีธรรมราช!L337+นราธิวาส!L337+ปัตตานี!L337+พังงา!L337+พัทลุง!L337+ภูเก็ต!L337+ยะลา!L337+ระนอง!L337+สงขลา!L337+สตูล!L337+สุราษฎร์ธานี!L337</f>
        <v>1029570</v>
      </c>
      <c r="M337" s="101">
        <f ca="1">กระบี่!M337+ชุมพร!M337+ตรัง!M337+นครศรีธรรมราช!M337+นราธิวาส!M337+ปัตตานี!M337+พังงา!M337+พัทลุง!M337+ภูเก็ต!M337+ยะลา!M337+ระนอง!M337+สงขลา!M337+สตูล!M337+สุราษฎร์ธานี!M337</f>
        <v>1029570</v>
      </c>
      <c r="N337" s="91">
        <f ca="1">กระบี่!N337+ชุมพร!N337+ตรัง!N337+นครศรีธรรมราช!N337+นราธิวาส!N337+ปัตตานี!N337+พังงา!N337+พัทลุง!N337+ภูเก็ต!N337+ยะลา!N337+ระนอง!N337+สงขลา!N337+สตูล!N337+สุราษฎร์ธานี!N337</f>
        <v>1029570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กระบี่!I339+ชุมพร!I339+ตรัง!I339+นครศรีธรรมราช!I339+นราธิวาส!I339+ปัตตานี!I339+พังงา!I339+พัทลุง!I339+ภูเก็ต!I339+ยะลา!I339+ระนอง!I339+สงขลา!I339+สตูล!I339+สุราษฎร์ธานี!I339</f>
        <v>0</v>
      </c>
      <c r="J339" s="194">
        <f ca="1">กระบี่!J339+ชุมพร!J339+ตรัง!J339+นครศรีธรรมราช!J339+นราธิวาส!J339+ปัตตานี!J339+พังงา!J339+พัทลุง!J339+ภูเก็ต!J339+ยะลา!J339+ระนอง!J339+สงขลา!J339+สตูล!J339+สุราษฎร์ธานี!J339</f>
        <v>1850</v>
      </c>
      <c r="K339" s="348">
        <f t="shared" ref="K339:K346" ca="1" si="70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กระบี่!I340+ชุมพร!I340+ตรัง!I340+นครศรีธรรมราช!I340+นราธิวาส!I340+ปัตตานี!I340+พังงา!I340+พัทลุง!I340+ภูเก็ต!I340+ยะลา!I340+ระนอง!I340+สงขลา!I340+สตูล!I340+สุราษฎร์ธานี!I340</f>
        <v>22324</v>
      </c>
      <c r="J340" s="194">
        <f ca="1">กระบี่!J340+ชุมพร!J340+ตรัง!J340+นครศรีธรรมราช!J340+นราธิวาส!J340+ปัตตานี!J340+พังงา!J340+พัทลุง!J340+ภูเก็ต!J340+ยะลา!J340+ระนอง!J340+สงขลา!J340+สตูล!J340+สุราษฎร์ธานี!J340</f>
        <v>16163.099999999991</v>
      </c>
      <c r="K340" s="348">
        <f t="shared" ca="1" si="70"/>
        <v>72.402347249596801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กระบี่!I341+ชุมพร!I341+ตรัง!I341+นครศรีธรรมราช!I341+นราธิวาส!I341+ปัตตานี!I341+พังงา!I341+พัทลุง!I341+ภูเก็ต!I341+ยะลา!I341+ระนอง!I341+สงขลา!I341+สตูล!I341+สุราษฎร์ธานี!I341</f>
        <v>2553</v>
      </c>
      <c r="J341" s="194">
        <f ca="1">กระบี่!J341+ชุมพร!J341+ตรัง!J341+นครศรีธรรมราช!J341+นราธิวาส!J341+ปัตตานี!J341+พังงา!J341+พัทลุง!J341+ภูเก็ต!J341+ยะลา!J341+ระนอง!J341+สงขลา!J341+สตูล!J341+สุราษฎร์ธานี!J341</f>
        <v>2182</v>
      </c>
      <c r="K341" s="348">
        <f t="shared" ca="1" si="70"/>
        <v>85.468076772424595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กระบี่!I342+ชุมพร!I342+ตรัง!I342+นครศรีธรรมราช!I342+นราธิวาส!I342+ปัตตานี!I342+พังงา!I342+พัทลุง!I342+ภูเก็ต!I342+ยะลา!I342+ระนอง!I342+สงขลา!I342+สตูล!I342+สุราษฎร์ธานี!I342</f>
        <v>0</v>
      </c>
      <c r="J342" s="194">
        <f ca="1">กระบี่!J342+ชุมพร!J342+ตรัง!J342+นครศรีธรรมราช!J342+นราธิวาส!J342+ปัตตานี!J342+พังงา!J342+พัทลุง!J342+ภูเก็ต!J342+ยะลา!J342+ระนอง!J342+สงขลา!J342+สตูล!J342+สุราษฎร์ธานี!J342</f>
        <v>21390.68</v>
      </c>
      <c r="K342" s="348">
        <f t="shared" ca="1" si="70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กระบี่!I343+ชุมพร!I343+ตรัง!I343+นครศรีธรรมราช!I343+นราธิวาส!I343+ปัตตานี!I343+พังงา!I343+พัทลุง!I343+ภูเก็ต!I343+ยะลา!I343+ระนอง!I343+สงขลา!I343+สตูล!I343+สุราษฎร์ธานี!I343</f>
        <v>2553</v>
      </c>
      <c r="J343" s="194">
        <f ca="1">กระบี่!J343+ชุมพร!J343+ตรัง!J343+นครศรีธรรมราช!J343+นราธิวาส!J343+ปัตตานี!J343+พังงา!J343+พัทลุง!J343+ภูเก็ต!J343+ยะลา!J343+ระนอง!J343+สงขลา!J343+สตูล!J343+สุราษฎร์ธานี!J343</f>
        <v>60</v>
      </c>
      <c r="K343" s="348">
        <f t="shared" ca="1" si="70"/>
        <v>2.3501762632197414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กระบี่!I344+ชุมพร!I344+ตรัง!I344+นครศรีธรรมราช!I344+นราธิวาส!I344+ปัตตานี!I344+พังงา!I344+พัทลุง!I344+ภูเก็ต!I344+ยะลา!I344+ระนอง!I344+สงขลา!I344+สตูล!I344+สุราษฎร์ธานี!I344</f>
        <v>0</v>
      </c>
      <c r="J344" s="194">
        <f ca="1">กระบี่!J344+ชุมพร!J344+ตรัง!J344+นครศรีธรรมราช!J344+นราธิวาส!J344+ปัตตานี!J344+พังงา!J344+พัทลุง!J344+ภูเก็ต!J344+ยะลา!J344+ระนอง!J344+สงขลา!J344+สตูล!J344+สุราษฎร์ธานี!J344</f>
        <v>334.64</v>
      </c>
      <c r="K344" s="348">
        <f t="shared" ca="1" si="70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กระบี่!I345+ชุมพร!I345+ตรัง!I345+นครศรีธรรมราช!I345+นราธิวาส!I345+ปัตตานี!I345+พังงา!I345+พัทลุง!I345+ภูเก็ต!I345+ยะลา!I345+ระนอง!I345+สงขลา!I345+สตูล!I345+สุราษฎร์ธานี!I345</f>
        <v>2553</v>
      </c>
      <c r="J345" s="194">
        <f ca="1">กระบี่!J345+ชุมพร!J345+ตรัง!J345+นครศรีธรรมราช!J345+นราธิวาส!J345+ปัตตานี!J345+พังงา!J345+พัทลุง!J345+ภูเก็ต!J345+ยะลา!J345+ระนอง!J345+สงขลา!J345+สตูล!J345+สุราษฎร์ธานี!J345</f>
        <v>1438</v>
      </c>
      <c r="K345" s="348">
        <f t="shared" ca="1" si="70"/>
        <v>56.325891108499803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กระบี่!I346+ชุมพร!I346+ตรัง!I346+นครศรีธรรมราช!I346+นราธิวาส!I346+ปัตตานี!I346+พังงา!I346+พัทลุง!I346+ภูเก็ต!I346+ยะลา!I346+ระนอง!I346+สงขลา!I346+สตูล!I346+สุราษฎร์ธานี!I346</f>
        <v>0</v>
      </c>
      <c r="J346" s="194">
        <f ca="1">กระบี่!J346+ชุมพร!J346+ตรัง!J346+นครศรีธรรมราช!J346+นราธิวาส!J346+ปัตตานี!J346+พังงา!J346+พัทลุง!J346+ภูเก็ต!J346+ยะลา!J346+ระนอง!J346+สงขลา!J346+สตูล!J346+สุราษฎร์ธานี!J346</f>
        <v>15262.319999999989</v>
      </c>
      <c r="K346" s="357">
        <f t="shared" ca="1" si="70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กระบี่!L347+ชุมพร!L347+ตรัง!L347+นครศรีธรรมราช!L347+นราธิวาส!L347+ปัตตานี!L347+พังงา!L347+พัทลุง!L347+ภูเก็ต!L347+ยะลา!L347+ระนอง!L347+สงขลา!L347+สตูล!L347+สุราษฎร์ธานี!L347</f>
        <v>18312392.100000001</v>
      </c>
      <c r="M347" s="364"/>
      <c r="N347" s="364">
        <f ca="1">กระบี่!N347+ชุมพร!N347+ตรัง!N347+นครศรีธรรมราช!N347+นราธิวาส!N347+ปัตตานี!N347+พังงา!N347+พัทลุง!N347+ภูเก็ต!N347+ยะลา!N347+ระนอง!N347+สงขลา!N347+สตูล!N347+สุราษฎร์ธานี!N347</f>
        <v>6622669.879999999</v>
      </c>
      <c r="O347" s="364">
        <f ca="1">+IF(L347&gt;0,N347*100/L347,0)</f>
        <v>36.164963287346815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กระบี่!I349+ชุมพร!I349+ตรัง!I349+นครศรีธรรมราช!I349+นราธิวาส!I349+ปัตตานี!I349+พังงา!I349+พัทลุง!I349+ภูเก็ต!I349+ยะลา!I349+ระนอง!I349+สงขลา!I349+สตูล!I349+สุราษฎร์ธานี!I349</f>
        <v>793</v>
      </c>
      <c r="J349" s="377">
        <f ca="1">กระบี่!J349+ชุมพร!J349+ตรัง!J349+นครศรีธรรมราช!J349+นราธิวาส!J349+ปัตตานี!J349+พังงา!J349+พัทลุง!J349+ภูเก็ต!J349+ยะลา!J349+ระนอง!J349+สงขลา!J349+สตูล!J349+สุราษฎร์ธานี!J349</f>
        <v>168</v>
      </c>
      <c r="K349" s="378">
        <f t="shared" ref="K349:K350" ca="1" si="71">IF(I349&gt;0,J349*100/I349,0)</f>
        <v>21.185372005044137</v>
      </c>
      <c r="L349" s="379">
        <f ca="1">กระบี่!L349+ชุมพร!L349+ตรัง!L349+นครศรีธรรมราช!L349+นราธิวาส!L349+ปัตตานี!L349+พังงา!L349+พัทลุง!L349+ภูเก็ต!L349+ยะลา!L349+ระนอง!L349+สงขลา!L349+สตูล!L349+สุราษฎร์ธานี!L349</f>
        <v>2192930</v>
      </c>
      <c r="M349" s="379"/>
      <c r="N349" s="379">
        <f ca="1">กระบี่!N349+ชุมพร!N349+ตรัง!N349+นครศรีธรรมราช!N349+นราธิวาส!N349+ปัตตานี!N349+พังงา!N349+พัทลุง!N349+ภูเก็ต!N349+ยะลา!N349+ระนอง!N349+สงขลา!N349+สตูล!N349+สุราษฎร์ธานี!N349</f>
        <v>1136565.1099999989</v>
      </c>
      <c r="O349" s="379">
        <f ca="1">+IF(L349&gt;0,N349*100/L349,0)</f>
        <v>51.828608756321401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กระบี่!I350+ชุมพร!I350+ตรัง!I350+นครศรีธรรมราช!I350+นราธิวาส!I350+ปัตตานี!I350+พังงา!I350+พัทลุง!I350+ภูเก็ต!I350+ยะลา!I350+ระนอง!I350+สงขลา!I350+สตูล!I350+สุราษฎร์ธานี!I350</f>
        <v>257</v>
      </c>
      <c r="J350" s="377">
        <f ca="1">กระบี่!J350+ชุมพร!J350+ตรัง!J350+นครศรีธรรมราช!J350+นราธิวาส!J350+ปัตตานี!J350+พังงา!J350+พัทลุง!J350+ภูเก็ต!J350+ยะลา!J350+ระนอง!J350+สงขลา!J350+สตูล!J350+สุราษฎร์ธานี!J350</f>
        <v>257</v>
      </c>
      <c r="K350" s="378">
        <f t="shared" ca="1" si="71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กระบี่!L351+ชุมพร!L351+ตรัง!L351+นครศรีธรรมราช!L351+นราธิวาส!L351+ปัตตานี!L351+พังงา!L351+พัทลุง!L351+ภูเก็ต!L351+ยะลา!L351+ระนอง!L351+สงขลา!L351+สตูล!L351+สุราษฎร์ธานี!L351</f>
        <v>0</v>
      </c>
      <c r="M351" s="168"/>
      <c r="N351" s="168">
        <f ca="1">กระบี่!N351+ชุมพร!N351+ตรัง!N351+นครศรีธรรมราช!N351+นราธิวาส!N351+ปัตตานี!N351+พังงา!N351+พัทลุง!N351+ภูเก็ต!N351+ยะลา!N351+ระนอง!N351+สงขลา!N351+สตูล!N351+สุราษฎร์ธานี!N351</f>
        <v>0</v>
      </c>
      <c r="O351" s="169">
        <f t="shared" ref="O351:O354" ca="1" si="72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กระบี่!L352+ชุมพร!L352+ตรัง!L352+นครศรีธรรมราช!L352+นราธิวาส!L352+ปัตตานี!L352+พังงา!L352+พัทลุง!L352+ภูเก็ต!L352+ยะลา!L352+ระนอง!L352+สงขลา!L352+สตูล!L352+สุราษฎร์ธานี!L352</f>
        <v>2192930</v>
      </c>
      <c r="M352" s="169"/>
      <c r="N352" s="168">
        <f ca="1">กระบี่!N352+ชุมพร!N352+ตรัง!N352+นครศรีธรรมราช!N352+นราธิวาส!N352+ปัตตานี!N352+พังงา!N352+พัทลุง!N352+ภูเก็ต!N352+ยะลา!N352+ระนอง!N352+สงขลา!N352+สตูล!N352+สุราษฎร์ธานี!N352</f>
        <v>1136565.1099999989</v>
      </c>
      <c r="O352" s="169">
        <f t="shared" ca="1" si="72"/>
        <v>51.828608756321401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กระบี่!L353+ชุมพร!L353+ตรัง!L353+นครศรีธรรมราช!L353+นราธิวาส!L353+ปัตตานี!L353+พังงา!L353+พัทลุง!L353+ภูเก็ต!L353+ยะลา!L353+ระนอง!L353+สงขลา!L353+สตูล!L353+สุราษฎร์ธานี!L353</f>
        <v>0</v>
      </c>
      <c r="M353" s="175"/>
      <c r="N353" s="175">
        <f ca="1">กระบี่!N353+ชุมพร!N353+ตรัง!N353+นครศรีธรรมราช!N353+นราธิวาส!N353+ปัตตานี!N353+พังงา!N353+พัทลุง!N353+ภูเก็ต!N353+ยะลา!N353+ระนอง!N353+สงขลา!N353+สตูล!N353+สุราษฎร์ธานี!N353</f>
        <v>0</v>
      </c>
      <c r="O353" s="175">
        <f t="shared" ca="1" si="72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กระบี่!L354+ชุมพร!L354+ตรัง!L354+นครศรีธรรมราช!L354+นราธิวาส!L354+ปัตตานี!L354+พังงา!L354+พัทลุง!L354+ภูเก็ต!L354+ยะลา!L354+ระนอง!L354+สงขลา!L354+สตูล!L354+สุราษฎร์ธานี!L354</f>
        <v>2192930</v>
      </c>
      <c r="M354" s="175"/>
      <c r="N354" s="172">
        <f ca="1">กระบี่!N354+ชุมพร!N354+ตรัง!N354+นครศรีธรรมราช!N354+นราธิวาส!N354+ปัตตานี!N354+พังงา!N354+พัทลุง!N354+ภูเก็ต!N354+ยะลา!N354+ระนอง!N354+สงขลา!N354+สตูล!N354+สุราษฎร์ธานี!N354</f>
        <v>1136565.1099999989</v>
      </c>
      <c r="O354" s="175">
        <f t="shared" ca="1" si="72"/>
        <v>51.828608756321401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กระบี่!N355+ชุมพร!N355+ตรัง!N355+นครศรีธรรมราช!N355+นราธิวาส!N355+ปัตตานี!N355+พังงา!N355+พัทลุง!N355+ภูเก็ต!N355+ยะลา!N355+ระนอง!N355+สงขลา!N355+สตูล!N355+สุราษฎร์ธานี!N355</f>
        <v>290394.3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กระบี่!N356+ชุมพร!N356+ตรัง!N356+นครศรีธรรมราช!N356+นราธิวาส!N356+ปัตตานี!N356+พังงา!N356+พัทลุง!N356+ภูเก็ต!N356+ยะลา!N356+ระนอง!N356+สงขลา!N356+สตูล!N356+สุราษฎร์ธานี!N356</f>
        <v>313090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กระบี่!N357+ชุมพร!N357+ตรัง!N357+นครศรีธรรมราช!N357+นราธิวาส!N357+ปัตตานี!N357+พังงา!N357+พัทลุง!N357+ภูเก็ต!N357+ยะลา!N357+ระนอง!N357+สงขลา!N357+สตูล!N357+สุราษฎร์ธานี!N357</f>
        <v>447132.6399999999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กระบี่!N358+ชุมพร!N358+ตรัง!N358+นครศรีธรรมราช!N358+นราธิวาส!N358+ปัตตานี!N358+พังงา!N358+พัทลุง!N358+ภูเก็ต!N358+ยะลา!N358+ระนอง!N358+สงขลา!N358+สตูล!N358+สุราษฎร์ธานี!N358</f>
        <v>85948.17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กระบี่!J360+ชุมพร!J360+ตรัง!J360+นครศรีธรรมราช!J360+นราธิวาส!J360+ปัตตานี!J360+พังงา!J360+พัทลุง!J360+ภูเก็ต!J360+ยะลา!J360+ระนอง!J360+สงขลา!J360+สตูล!J360+สุราษฎร์ธานี!J360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กระบี่!J361+ชุมพร!J361+ตรัง!J361+นครศรีธรรมราช!J361+นราธิวาส!J361+ปัตตานี!J361+พังงา!J361+พัทลุง!J361+ภูเก็ต!J361+ยะลา!J361+ระนอง!J361+สงขลา!J361+สตูล!J361+สุราษฎร์ธานี!J361</f>
        <v>9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กระบี่!J362+ชุมพร!J362+ตรัง!J362+นครศรีธรรมราช!J362+นราธิวาส!J362+ปัตตานี!J362+พังงา!J362+พัทลุง!J362+ภูเก็ต!J362+ยะลา!J362+ระนอง!J362+สงขลา!J362+สตูล!J362+สุราษฎร์ธานี!J362</f>
        <v>9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กระบี่!J363+ชุมพร!J363+ตรัง!J363+นครศรีธรรมราช!J363+นราธิวาส!J363+ปัตตานี!J363+พังงา!J363+พัทลุง!J363+ภูเก็ต!J363+ยะลา!J363+ระนอง!J363+สงขลา!J363+สตูล!J363+สุราษฎร์ธานี!J363</f>
        <v>9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กระบี่!J364+ชุมพร!J364+ตรัง!J364+นครศรีธรรมราช!J364+นราธิวาส!J364+ปัตตานี!J364+พังงา!J364+พัทลุง!J364+ภูเก็ต!J364+ยะลา!J364+ระนอง!J364+สงขลา!J364+สตูล!J364+สุราษฎร์ธานี!J364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กระบี่!J365+ชุมพร!J365+ตรัง!J365+นครศรีธรรมราช!J365+นราธิวาส!J365+ปัตตานี!J365+พังงา!J365+พัทลุง!J365+ภูเก็ต!J365+ยะลา!J365+ระนอง!J365+สงขลา!J365+สตูล!J365+สุราษฎร์ธานี!J365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กระบี่!J366+ชุมพร!J366+ตรัง!J366+นครศรีธรรมราช!J366+นราธิวาส!J366+ปัตตานี!J366+พังงา!J366+พัทลุง!J366+ภูเก็ต!J366+ยะลา!J366+ระนอง!J366+สงขลา!J366+สตูล!J366+สุราษฎร์ธานี!J366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กระบี่!J367+ชุมพร!J367+ตรัง!J367+นครศรีธรรมราช!J367+นราธิวาส!J367+ปัตตานี!J367+พังงา!J367+พัทลุง!J367+ภูเก็ต!J367+ยะลา!J367+ระนอง!J367+สงขลา!J367+สตูล!J367+สุราษฎร์ธานี!J367</f>
        <v>0</v>
      </c>
      <c r="K367" s="167">
        <f t="shared" ref="K367:K373" ca="1" si="73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กระบี่!I368+ชุมพร!I368+ตรัง!I368+นครศรีธรรมราช!I368+นราธิวาส!I368+ปัตตานี!I368+พังงา!I368+พัทลุง!I368+ภูเก็ต!I368+ยะลา!I368+ระนอง!I368+สงขลา!I368+สตูล!I368+สุราษฎร์ธานี!I368</f>
        <v>257</v>
      </c>
      <c r="J368" s="194">
        <f ca="1">กระบี่!J368+ชุมพร!J368+ตรัง!J368+นครศรีธรรมราช!J368+นราธิวาส!J368+ปัตตานี!J368+พังงา!J368+พัทลุง!J368+ภูเก็ต!J368+ยะลา!J368+ระนอง!J368+สงขลา!J368+สตูล!J368+สุราษฎร์ธานี!J368</f>
        <v>257</v>
      </c>
      <c r="K368" s="167">
        <f t="shared" ca="1" si="73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กระบี่!I369+ชุมพร!I369+ตรัง!I369+นครศรีธรรมราช!I369+นราธิวาส!I369+ปัตตานี!I369+พังงา!I369+พัทลุง!I369+ภูเก็ต!I369+ยะลา!I369+ระนอง!I369+สงขลา!I369+สตูล!I369+สุราษฎร์ธานี!I369</f>
        <v>0</v>
      </c>
      <c r="J369" s="210">
        <f ca="1">กระบี่!J369+ชุมพร!J369+ตรัง!J369+นครศรีธรรมราช!J369+นราธิวาส!J369+ปัตตานี!J369+พังงา!J369+พัทลุง!J369+ภูเก็ต!J369+ยะลา!J369+ระนอง!J369+สงขลา!J369+สตูล!J369+สุราษฎร์ธานี!J369</f>
        <v>0</v>
      </c>
      <c r="K369" s="167">
        <f t="shared" ca="1" si="73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กระบี่!I370+ชุมพร!I370+ตรัง!I370+นครศรีธรรมราช!I370+นราธิวาส!I370+ปัตตานี!I370+พังงา!I370+พัทลุง!I370+ภูเก็ต!I370+ยะลา!I370+ระนอง!I370+สงขลา!I370+สตูล!I370+สุราษฎร์ธานี!I370</f>
        <v>257</v>
      </c>
      <c r="J370" s="210">
        <f ca="1">กระบี่!J370+ชุมพร!J370+ตรัง!J370+นครศรีธรรมราช!J370+นราธิวาส!J370+ปัตตานี!J370+พังงา!J370+พัทลุง!J370+ภูเก็ต!J370+ยะลา!J370+ระนอง!J370+สงขลา!J370+สตูล!J370+สุราษฎร์ธานี!J370</f>
        <v>227</v>
      </c>
      <c r="K370" s="167">
        <f t="shared" ca="1" si="73"/>
        <v>88.326848249027236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กระบี่!I371+ชุมพร!I371+ตรัง!I371+นครศรีธรรมราช!I371+นราธิวาส!I371+ปัตตานี!I371+พังงา!I371+พัทลุง!I371+ภูเก็ต!I371+ยะลา!I371+ระนอง!I371+สงขลา!I371+สตูล!I371+สุราษฎร์ธานี!I371</f>
        <v>0</v>
      </c>
      <c r="J371" s="195">
        <f ca="1">กระบี่!J371+ชุมพร!J371+ตรัง!J371+นครศรีธรรมราช!J371+นราธิวาส!J371+ปัตตานี!J371+พังงา!J371+พัทลุง!J371+ภูเก็ต!J371+ยะลา!J371+ระนอง!J371+สงขลา!J371+สตูล!J371+สุราษฎร์ธานี!J371</f>
        <v>0</v>
      </c>
      <c r="K371" s="167">
        <f t="shared" ca="1" si="73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กระบี่!I372+ชุมพร!I372+ตรัง!I372+นครศรีธรรมราช!I372+นราธิวาส!I372+ปัตตานี!I372+พังงา!I372+พัทลุง!I372+ภูเก็ต!I372+ยะลา!I372+ระนอง!I372+สงขลา!I372+สตูล!I372+สุราษฎร์ธานี!I372</f>
        <v>257</v>
      </c>
      <c r="J372" s="195">
        <f ca="1">กระบี่!J372+ชุมพร!J372+ตรัง!J372+นครศรีธรรมราช!J372+นราธิวาส!J372+ปัตตานี!J372+พังงา!J372+พัทลุง!J372+ภูเก็ต!J372+ยะลา!J372+ระนอง!J372+สงขลา!J372+สตูล!J372+สุราษฎร์ธานี!J372</f>
        <v>232</v>
      </c>
      <c r="K372" s="167">
        <f t="shared" ca="1" si="73"/>
        <v>90.272373540856037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กระบี่!I373+ชุมพร!I373+ตรัง!I373+นครศรีธรรมราช!I373+นราธิวาส!I373+ปัตตานี!I373+พังงา!I373+พัทลุง!I373+ภูเก็ต!I373+ยะลา!I373+ระนอง!I373+สงขลา!I373+สตูล!I373+สุราษฎร์ธานี!I373</f>
        <v>0</v>
      </c>
      <c r="J373" s="210">
        <f ca="1">กระบี่!J373+ชุมพร!J373+ตรัง!J373+นครศรีธรรมราช!J373+นราธิวาส!J373+ปัตตานี!J373+พังงา!J373+พัทลุง!J373+ภูเก็ต!J373+ยะลา!J373+ระนอง!J373+สงขลา!J373+สตูล!J373+สุราษฎร์ธานี!J373</f>
        <v>0</v>
      </c>
      <c r="K373" s="167">
        <f t="shared" ca="1" si="73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กระบี่!I374+ชุมพร!I374+ตรัง!I374+นครศรีธรรมราช!I374+นราธิวาส!I374+ปัตตานี!I374+พังงา!I374+พัทลุง!I374+ภูเก็ต!I374+ยะลา!I374+ระนอง!I374+สงขลา!I374+สตูล!I374+สุราษฎร์ธานี!I374</f>
        <v>0</v>
      </c>
      <c r="J374" s="194">
        <f ca="1">กระบี่!J374+ชุมพร!J374+ตรัง!J374+นครศรีธรรมราช!J374+นราธิวาส!J374+ปัตตานี!J374+พังงา!J374+พัทลุง!J374+ภูเก็ต!J374+ยะลา!J374+ระนอง!J374+สงขลา!J374+สตูล!J374+สุราษฎร์ธานี!J374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กระบี่!I375+ชุมพร!I375+ตรัง!I375+นครศรีธรรมราช!I375+นราธิวาส!I375+ปัตตานี!I375+พังงา!I375+พัทลุง!I375+ภูเก็ต!I375+ยะลา!I375+ระนอง!I375+สงขลา!I375+สตูล!I375+สุราษฎร์ธานี!I375</f>
        <v>793</v>
      </c>
      <c r="J375" s="194">
        <f ca="1">กระบี่!J375+ชุมพร!J375+ตรัง!J375+นครศรีธรรมราช!J375+นราธิวาส!J375+ปัตตานี!J375+พังงา!J375+พัทลุง!J375+ภูเก็ต!J375+ยะลา!J375+ระนอง!J375+สงขลา!J375+สตูล!J375+สุราษฎร์ธานี!J375</f>
        <v>168</v>
      </c>
      <c r="K375" s="167">
        <f t="shared" ref="K375:K377" ca="1" si="74">IF(I375&gt;0,J375*100/I375,0)</f>
        <v>21.185372005044137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กระบี่!I376+ชุมพร!I376+ตรัง!I376+นครศรีธรรมราช!I376+นราธิวาส!I376+ปัตตานี!I376+พังงา!I376+พัทลุง!I376+ภูเก็ต!I376+ยะลา!I376+ระนอง!I376+สงขลา!I376+สตูล!I376+สุราษฎร์ธานี!I376</f>
        <v>250</v>
      </c>
      <c r="J376" s="195">
        <f ca="1">กระบี่!J376+ชุมพร!J376+ตรัง!J376+นครศรีธรรมราช!J376+นราธิวาส!J376+ปัตตานี!J376+พังงา!J376+พัทลุง!J376+ภูเก็ต!J376+ยะลา!J376+ระนอง!J376+สงขลา!J376+สตูล!J376+สุราษฎร์ธานี!J376</f>
        <v>60</v>
      </c>
      <c r="K376" s="167">
        <f t="shared" ca="1" si="74"/>
        <v>24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กระบี่!I377+ชุมพร!I377+ตรัง!I377+นครศรีธรรมราช!I377+นราธิวาส!I377+ปัตตานี!I377+พังงา!I377+พัทลุง!I377+ภูเก็ต!I377+ยะลา!I377+ระนอง!I377+สงขลา!I377+สตูล!I377+สุราษฎร์ธานี!I377</f>
        <v>543</v>
      </c>
      <c r="J377" s="210">
        <f ca="1">กระบี่!J377+ชุมพร!J377+ตรัง!J377+นครศรีธรรมราช!J377+นราธิวาส!J377+ปัตตานี!J377+พังงา!J377+พัทลุง!J377+ภูเก็ต!J377+ยะลา!J377+ระนอง!J377+สงขลา!J377+สตูล!J377+สุราษฎร์ธานี!J377</f>
        <v>108</v>
      </c>
      <c r="K377" s="167">
        <f t="shared" ca="1" si="74"/>
        <v>19.88950276243094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กระบี่!J378+ชุมพร!J378+ตรัง!J378+นครศรีธรรมราช!J378+นราธิวาส!J378+ปัตตานี!J378+พังงา!J378+พัทลุง!J378+ภูเก็ต!J378+ยะลา!J378+ระนอง!J378+สงขลา!J378+สตูล!J378+สุราษฎร์ธานี!J378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กระบี่!J379+ชุมพร!J379+ตรัง!J379+นครศรีธรรมราช!J379+นราธิวาส!J379+ปัตตานี!J379+พังงา!J379+พัทลุง!J379+ภูเก็ต!J379+ยะลา!J379+ระนอง!J379+สงขลา!J379+สตูล!J379+สุราษฎร์ธานี!J379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กระบี่!I380+ชุมพร!I380+ตรัง!I380+นครศรีธรรมราช!I380+นราธิวาส!I380+ปัตตานี!I380+พังงา!I380+พัทลุง!I380+ภูเก็ต!I380+ยะลา!I380+ระนอง!I380+สงขลา!I380+สตูล!I380+สุราษฎร์ธานี!I380</f>
        <v>4700</v>
      </c>
      <c r="J380" s="377">
        <f ca="1">กระบี่!J380+ชุมพร!J380+ตรัง!J380+นครศรีธรรมราช!J380+นราธิวาส!J380+ปัตตานี!J380+พังงา!J380+พัทลุง!J380+ภูเก็ต!J380+ยะลา!J380+ระนอง!J380+สงขลา!J380+สตูล!J380+สุราษฎร์ธานี!J380</f>
        <v>1150</v>
      </c>
      <c r="K380" s="378">
        <f t="shared" ref="K380:K381" ca="1" si="75">IF(I380&gt;0,J380*100/I380,0)</f>
        <v>24.468085106382979</v>
      </c>
      <c r="L380" s="379">
        <f ca="1">กระบี่!L380+ชุมพร!L380+ตรัง!L380+นครศรีธรรมราช!L380+นราธิวาส!L380+ปัตตานี!L380+พังงา!L380+พัทลุง!L380+ภูเก็ต!L380+ยะลา!L380+ระนอง!L380+สงขลา!L380+สตูล!L380+สุราษฎร์ธานี!L380</f>
        <v>4832540</v>
      </c>
      <c r="M380" s="379"/>
      <c r="N380" s="379">
        <f ca="1">กระบี่!N380+ชุมพร!N380+ตรัง!N380+นครศรีธรรมราช!N380+นราธิวาส!N380+ปัตตานี!N380+พังงา!N380+พัทลุง!N380+ภูเก็ต!N380+ยะลา!N380+ระนอง!N380+สงขลา!N380+สตูล!N380+สุราษฎร์ธานี!N380</f>
        <v>1233529.5899999999</v>
      </c>
      <c r="O380" s="379">
        <f ca="1">+IF(L380&gt;0,N380*100/L380,0)</f>
        <v>25.525491563442824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กระบี่!I381+ชุมพร!I381+ตรัง!I381+นครศรีธรรมราช!I381+นราธิวาส!I381+ปัตตานี!I381+พังงา!I381+พัทลุง!I381+ภูเก็ต!I381+ยะลา!I381+ระนอง!I381+สงขลา!I381+สตูล!I381+สุราษฎร์ธานี!I381</f>
        <v>470</v>
      </c>
      <c r="J381" s="377">
        <f ca="1">กระบี่!J381+ชุมพร!J381+ตรัง!J381+นครศรีธรรมราช!J381+นราธิวาส!J381+ปัตตานี!J381+พังงา!J381+พัทลุง!J381+ภูเก็ต!J381+ยะลา!J381+ระนอง!J381+สงขลา!J381+สตูล!J381+สุราษฎร์ธานี!J381</f>
        <v>475</v>
      </c>
      <c r="K381" s="378">
        <f t="shared" ca="1" si="75"/>
        <v>101.06382978723404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กระบี่!L382+ชุมพร!L382+ตรัง!L382+นครศรีธรรมราช!L382+นราธิวาส!L382+ปัตตานี!L382+พังงา!L382+พัทลุง!L382+ภูเก็ต!L382+ยะลา!L382+ระนอง!L382+สงขลา!L382+สตูล!L382+สุราษฎร์ธานี!L382</f>
        <v>0</v>
      </c>
      <c r="M382" s="168"/>
      <c r="N382" s="168">
        <f ca="1">กระบี่!N382+ชุมพร!N382+ตรัง!N382+นครศรีธรรมราช!N382+นราธิวาส!N382+ปัตตานี!N382+พังงา!N382+พัทลุง!N382+ภูเก็ต!N382+ยะลา!N382+ระนอง!N382+สงขลา!N382+สตูล!N382+สุราษฎร์ธานี!N382</f>
        <v>0</v>
      </c>
      <c r="O382" s="169">
        <f t="shared" ref="O382:O385" ca="1" si="76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กระบี่!L383+ชุมพร!L383+ตรัง!L383+นครศรีธรรมราช!L383+นราธิวาส!L383+ปัตตานี!L383+พังงา!L383+พัทลุง!L383+ภูเก็ต!L383+ยะลา!L383+ระนอง!L383+สงขลา!L383+สตูล!L383+สุราษฎร์ธานี!L383</f>
        <v>4832540</v>
      </c>
      <c r="M383" s="169"/>
      <c r="N383" s="169">
        <f ca="1">กระบี่!N383+ชุมพร!N383+ตรัง!N383+นครศรีธรรมราช!N383+นราธิวาส!N383+ปัตตานี!N383+พังงา!N383+พัทลุง!N383+ภูเก็ต!N383+ยะลา!N383+ระนอง!N383+สงขลา!N383+สตูล!N383+สุราษฎร์ธานี!N383</f>
        <v>1233529.5899999999</v>
      </c>
      <c r="O383" s="169">
        <f t="shared" ca="1" si="76"/>
        <v>25.525491563442824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กระบี่!L384+ชุมพร!L384+ตรัง!L384+นครศรีธรรมราช!L384+นราธิวาส!L384+ปัตตานี!L384+พังงา!L384+พัทลุง!L384+ภูเก็ต!L384+ยะลา!L384+ระนอง!L384+สงขลา!L384+สตูล!L384+สุราษฎร์ธานี!L384</f>
        <v>0</v>
      </c>
      <c r="M384" s="175"/>
      <c r="N384" s="175">
        <f ca="1">กระบี่!N384+ชุมพร!N384+ตรัง!N384+นครศรีธรรมราช!N384+นราธิวาส!N384+ปัตตานี!N384+พังงา!N384+พัทลุง!N384+ภูเก็ต!N384+ยะลา!N384+ระนอง!N384+สงขลา!N384+สตูล!N384+สุราษฎร์ธานี!N384</f>
        <v>0</v>
      </c>
      <c r="O384" s="175">
        <f t="shared" ca="1" si="76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กระบี่!L385+ชุมพร!L385+ตรัง!L385+นครศรีธรรมราช!L385+นราธิวาส!L385+ปัตตานี!L385+พังงา!L385+พัทลุง!L385+ภูเก็ต!L385+ยะลา!L385+ระนอง!L385+สงขลา!L385+สตูล!L385+สุราษฎร์ธานี!L385</f>
        <v>4832540</v>
      </c>
      <c r="M385" s="175"/>
      <c r="N385" s="172">
        <f ca="1">กระบี่!N385+ชุมพร!N385+ตรัง!N385+นครศรีธรรมราช!N385+นราธิวาส!N385+ปัตตานี!N385+พังงา!N385+พัทลุง!N385+ภูเก็ต!N385+ยะลา!N385+ระนอง!N385+สงขลา!N385+สตูล!N385+สุราษฎร์ธานี!N385</f>
        <v>1233529.5899999999</v>
      </c>
      <c r="O385" s="175">
        <f t="shared" ca="1" si="76"/>
        <v>25.525491563442824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กระบี่!N386+ชุมพร!N386+ตรัง!N386+นครศรีธรรมราช!N386+นราธิวาส!N386+ปัตตานี!N386+พังงา!N386+พัทลุง!N386+ภูเก็ต!N386+ยะลา!N386+ระนอง!N386+สงขลา!N386+สตูล!N386+สุราษฎร์ธานี!N386</f>
        <v>889585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กระบี่!N387+ชุมพร!N387+ตรัง!N387+นครศรีธรรมราช!N387+นราธิวาส!N387+ปัตตานี!N387+พังงา!N387+พัทลุง!N387+ภูเก็ต!N387+ยะลา!N387+ระนอง!N387+สงขลา!N387+สตูล!N387+สุราษฎร์ธานี!N387</f>
        <v>104600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กระบี่!N388+ชุมพร!N388+ตรัง!N388+นครศรีธรรมราช!N388+นราธิวาส!N388+ปัตตานี!N388+พังงา!N388+พัทลุง!N388+ภูเก็ต!N388+ยะลา!N388+ระนอง!N388+สงขลา!N388+สตูล!N388+สุราษฎร์ธานี!N388</f>
        <v>118102.17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กระบี่!N389+ชุมพร!N389+ตรัง!N389+นครศรีธรรมราช!N389+นราธิวาส!N389+ปัตตานี!N389+พังงา!N389+พัทลุง!N389+ภูเก็ต!N389+ยะลา!N389+ระนอง!N389+สงขลา!N389+สตูล!N389+สุราษฎร์ธานี!N389</f>
        <v>121242.42000000001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กระบี่!J391+ชุมพร!J391+ตรัง!J391+นครศรีธรรมราช!J391+นราธิวาส!J391+ปัตตานี!J391+พังงา!J391+พัทลุง!J391+ภูเก็ต!J391+ยะลา!J391+ระนอง!J391+สงขลา!J391+สตูล!J391+สุราษฎร์ธานี!J391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กระบี่!J392+ชุมพร!J392+ตรัง!J392+นครศรีธรรมราช!J392+นราธิวาส!J392+ปัตตานี!J392+พังงา!J392+พัทลุง!J392+ภูเก็ต!J392+ยะลา!J392+ระนอง!J392+สงขลา!J392+สตูล!J392+สุราษฎร์ธานี!J392</f>
        <v>14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กระบี่!J393+ชุมพร!J393+ตรัง!J393+นครศรีธรรมราช!J393+นราธิวาส!J393+ปัตตานี!J393+พังงา!J393+พัทลุง!J393+ภูเก็ต!J393+ยะลา!J393+ระนอง!J393+สงขลา!J393+สตูล!J393+สุราษฎร์ธานี!J393</f>
        <v>14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กระบี่!J394+ชุมพร!J394+ตรัง!J394+นครศรีธรรมราช!J394+นราธิวาส!J394+ปัตตานี!J394+พังงา!J394+พัทลุง!J394+ภูเก็ต!J394+ยะลา!J394+ระนอง!J394+สงขลา!J394+สตูล!J394+สุราษฎร์ธานี!J394</f>
        <v>14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กระบี่!I396+ชุมพร!I396+ตรัง!I396+นครศรีธรรมราช!I396+นราธิวาส!I396+ปัตตานี!I396+พังงา!I396+พัทลุง!I396+ภูเก็ต!I396+ยะลา!I396+ระนอง!I396+สงขลา!I396+สตูล!I396+สุราษฎร์ธานี!I396</f>
        <v>470</v>
      </c>
      <c r="J396" s="204">
        <f ca="1">กระบี่!J396+ชุมพร!J396+ตรัง!J396+นครศรีธรรมราช!J396+นราธิวาส!J396+ปัตตานี!J396+พังงา!J396+พัทลุง!J396+ภูเก็ต!J396+ยะลา!J396+ระนอง!J396+สงขลา!J396+สตูล!J396+สุราษฎร์ธานี!J396</f>
        <v>475</v>
      </c>
      <c r="K396" s="167">
        <f t="shared" ref="K396:K398" ca="1" si="77">IF(I396&gt;0,J396*100/I396,0)</f>
        <v>101.06382978723404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กระบี่!I397+ชุมพร!I397+ตรัง!I397+นครศรีธรรมราช!I397+นราธิวาส!I397+ปัตตานี!I397+พังงา!I397+พัทลุง!I397+ภูเก็ต!I397+ยะลา!I397+ระนอง!I397+สงขลา!I397+สตูล!I397+สุราษฎร์ธานี!I397</f>
        <v>4700</v>
      </c>
      <c r="J397" s="204">
        <f ca="1">กระบี่!J397+ชุมพร!J397+ตรัง!J397+นครศรีธรรมราช!J397+นราธิวาส!J397+ปัตตานี!J397+พังงา!J397+พัทลุง!J397+ภูเก็ต!J397+ยะลา!J397+ระนอง!J397+สงขลา!J397+สตูล!J397+สุราษฎร์ธานี!J397</f>
        <v>1150</v>
      </c>
      <c r="K397" s="167">
        <f t="shared" ca="1" si="77"/>
        <v>24.468085106382979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กระบี่!I398+ชุมพร!I398+ตรัง!I398+นครศรีธรรมราช!I398+นราธิวาส!I398+ปัตตานี!I398+พังงา!I398+พัทลุง!I398+ภูเก็ต!I398+ยะลา!I398+ระนอง!I398+สงขลา!I398+สตูล!I398+สุราษฎร์ธานี!I398</f>
        <v>470</v>
      </c>
      <c r="J398" s="204">
        <f ca="1">กระบี่!J398+ชุมพร!J398+ตรัง!J398+นครศรีธรรมราช!J398+นราธิวาส!J398+ปัตตานี!J398+พังงา!J398+พัทลุง!J398+ภูเก็ต!J398+ยะลา!J398+ระนอง!J398+สงขลา!J398+สตูล!J398+สุราษฎร์ธานี!J398</f>
        <v>115</v>
      </c>
      <c r="K398" s="167">
        <f t="shared" ca="1" si="77"/>
        <v>24.468085106382979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กระบี่!J399+ชุมพร!J399+ตรัง!J399+นครศรีธรรมราช!J399+นราธิวาส!J399+ปัตตานี!J399+พังงา!J399+พัทลุง!J399+ภูเก็ต!J399+ยะลา!J399+ระนอง!J399+สงขลา!J399+สตูล!J399+สุราษฎร์ธานี!J399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กระบี่!J400+ชุมพร!J400+ตรัง!J400+นครศรีธรรมราช!J400+นราธิวาส!J400+ปัตตานี!J400+พังงา!J400+พัทลุง!J400+ภูเก็ต!J400+ยะลา!J400+ระนอง!J400+สงขลา!J400+สตูล!J400+สุราษฎร์ธานี!J400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กระบี่!I401+ชุมพร!I401+ตรัง!I401+นครศรีธรรมราช!I401+นราธิวาส!I401+ปัตตานี!I401+พังงา!I401+พัทลุง!I401+ภูเก็ต!I401+ยะลา!I401+ระนอง!I401+สงขลา!I401+สตูล!I401+สุราษฎร์ธานี!I401</f>
        <v>1620</v>
      </c>
      <c r="J401" s="377">
        <f ca="1">กระบี่!J401+ชุมพร!J401+ตรัง!J401+นครศรีธรรมราช!J401+นราธิวาส!J401+ปัตตานี!J401+พังงา!J401+พัทลุง!J401+ภูเก็ต!J401+ยะลา!J401+ระนอง!J401+สงขลา!J401+สตูล!J401+สุราษฎร์ธานี!J401</f>
        <v>1290</v>
      </c>
      <c r="K401" s="378">
        <f t="shared" ref="K401:K402" ca="1" si="78">IF(I401&gt;0,J401*100/I401,0)</f>
        <v>79.629629629629633</v>
      </c>
      <c r="L401" s="379">
        <f ca="1">กระบี่!L401+ชุมพร!L401+ตรัง!L401+นครศรีธรรมราช!L401+นราธิวาส!L401+ปัตตานี!L401+พังงา!L401+พัทลุง!L401+ภูเก็ต!L401+ยะลา!L401+ระนอง!L401+สงขลา!L401+สตูล!L401+สุราษฎร์ธานี!L401</f>
        <v>1883810</v>
      </c>
      <c r="M401" s="379"/>
      <c r="N401" s="379">
        <f ca="1">กระบี่!N401+ชุมพร!N401+ตรัง!N401+นครศรีธรรมราช!N401+นราธิวาส!N401+ปัตตานี!N401+พังงา!N401+พัทลุง!N401+ภูเก็ต!N401+ยะลา!N401+ระนอง!N401+สงขลา!N401+สตูล!N401+สุราษฎร์ธานี!N401</f>
        <v>1097964.8799999999</v>
      </c>
      <c r="O401" s="379">
        <f ca="1">+IF(L401&gt;0,N401*100/L401,0)</f>
        <v>58.284268583349693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กระบี่!I402+ชุมพร!I402+ตรัง!I402+นครศรีธรรมราช!I402+นราธิวาส!I402+ปัตตานี!I402+พังงา!I402+พัทลุง!I402+ภูเก็ต!I402+ยะลา!I402+ระนอง!I402+สงขลา!I402+สตูล!I402+สุราษฎร์ธานี!I402</f>
        <v>540</v>
      </c>
      <c r="J402" s="377">
        <f ca="1">กระบี่!J402+ชุมพร!J402+ตรัง!J402+นครศรีธรรมราช!J402+นราธิวาส!J402+ปัตตานี!J402+พังงา!J402+พัทลุง!J402+ภูเก็ต!J402+ยะลา!J402+ระนอง!J402+สงขลา!J402+สตูล!J402+สุราษฎร์ธานี!J402</f>
        <v>455</v>
      </c>
      <c r="K402" s="378">
        <f t="shared" ca="1" si="78"/>
        <v>84.259259259259252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กระบี่!L403+ชุมพร!L403+ตรัง!L403+นครศรีธรรมราช!L403+นราธิวาส!L403+ปัตตานี!L403+พังงา!L403+พัทลุง!L403+ภูเก็ต!L403+ยะลา!L403+ระนอง!L403+สงขลา!L403+สตูล!L403+สุราษฎร์ธานี!L403</f>
        <v>0</v>
      </c>
      <c r="M403" s="168"/>
      <c r="N403" s="175">
        <f ca="1">กระบี่!N403+ชุมพร!N403+ตรัง!N403+นครศรีธรรมราช!N403+นราธิวาส!N403+ปัตตานี!N403+พังงา!N403+พัทลุง!N403+ภูเก็ต!N403+ยะลา!N403+ระนอง!N403+สงขลา!N403+สตูล!N403+สุราษฎร์ธานี!N403</f>
        <v>0</v>
      </c>
      <c r="O403" s="175">
        <f t="shared" ref="O403:O406" ca="1" si="79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กระบี่!L404+ชุมพร!L404+ตรัง!L404+นครศรีธรรมราช!L404+นราธิวาส!L404+ปัตตานี!L404+พังงา!L404+พัทลุง!L404+ภูเก็ต!L404+ยะลา!L404+ระนอง!L404+สงขลา!L404+สตูล!L404+สุราษฎร์ธานี!L404</f>
        <v>1883810</v>
      </c>
      <c r="M404" s="169"/>
      <c r="N404" s="175">
        <f ca="1">กระบี่!N404+ชุมพร!N404+ตรัง!N404+นครศรีธรรมราช!N404+นราธิวาส!N404+ปัตตานี!N404+พังงา!N404+พัทลุง!N404+ภูเก็ต!N404+ยะลา!N404+ระนอง!N404+สงขลา!N404+สตูล!N404+สุราษฎร์ธานี!N404</f>
        <v>1097964.8799999999</v>
      </c>
      <c r="O404" s="175">
        <f t="shared" ca="1" si="79"/>
        <v>58.284268583349693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กระบี่!L405+ชุมพร!L405+ตรัง!L405+นครศรีธรรมราช!L405+นราธิวาส!L405+ปัตตานี!L405+พังงา!L405+พัทลุง!L405+ภูเก็ต!L405+ยะลา!L405+ระนอง!L405+สงขลา!L405+สตูล!L405+สุราษฎร์ธานี!L405</f>
        <v>0</v>
      </c>
      <c r="M405" s="175"/>
      <c r="N405" s="175">
        <f ca="1">กระบี่!N405+ชุมพร!N405+ตรัง!N405+นครศรีธรรมราช!N405+นราธิวาส!N405+ปัตตานี!N405+พังงา!N405+พัทลุง!N405+ภูเก็ต!N405+ยะลา!N405+ระนอง!N405+สงขลา!N405+สตูล!N405+สุราษฎร์ธานี!N405</f>
        <v>0</v>
      </c>
      <c r="O405" s="175">
        <f t="shared" ca="1" si="79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กระบี่!L406+ชุมพร!L406+ตรัง!L406+นครศรีธรรมราช!L406+นราธิวาส!L406+ปัตตานี!L406+พังงา!L406+พัทลุง!L406+ภูเก็ต!L406+ยะลา!L406+ระนอง!L406+สงขลา!L406+สตูล!L406+สุราษฎร์ธานี!L406</f>
        <v>1883810</v>
      </c>
      <c r="M406" s="175"/>
      <c r="N406" s="175">
        <f ca="1">กระบี่!N406+ชุมพร!N406+ตรัง!N406+นครศรีธรรมราช!N406+นราธิวาส!N406+ปัตตานี!N406+พังงา!N406+พัทลุง!N406+ภูเก็ต!N406+ยะลา!N406+ระนอง!N406+สงขลา!N406+สตูล!N406+สุราษฎร์ธานี!N406</f>
        <v>1097964.8799999999</v>
      </c>
      <c r="O406" s="175">
        <f t="shared" ca="1" si="79"/>
        <v>58.284268583349693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กระบี่!N407+ชุมพร!N407+ตรัง!N407+นครศรีธรรมราช!N407+นราธิวาส!N407+ปัตตานี!N407+พังงา!N407+พัทลุง!N407+ภูเก็ต!N407+ยะลา!N407+ระนอง!N407+สงขลา!N407+สตูล!N407+สุราษฎร์ธานี!N407</f>
        <v>806520.08000000007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กระบี่!N408+ชุมพร!N408+ตรัง!N408+นครศรีธรรมราช!N408+นราธิวาส!N408+ปัตตานี!N408+พังงา!N408+พัทลุง!N408+ภูเก็ต!N408+ยะลา!N408+ระนอง!N408+สงขลา!N408+สตูล!N408+สุราษฎร์ธานี!N408</f>
        <v>137760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กระบี่!N409+ชุมพร!N409+ตรัง!N409+นครศรีธรรมราช!N409+นราธิวาส!N409+ปัตตานี!N409+พังงา!N409+พัทลุง!N409+ภูเก็ต!N409+ยะลา!N409+ระนอง!N409+สงขลา!N409+สตูล!N409+สุราษฎร์ธานี!N409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กระบี่!N410+ชุมพร!N410+ตรัง!N410+นครศรีธรรมราช!N410+นราธิวาส!N410+ปัตตานี!N410+พังงา!N410+พัทลุง!N410+ภูเก็ต!N410+ยะลา!N410+ระนอง!N410+สงขลา!N410+สตูล!N410+สุราษฎร์ธานี!N410</f>
        <v>153684.79999999999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กระบี่!J412+ชุมพร!J412+ตรัง!J412+นครศรีธรรมราช!J412+นราธิวาส!J412+ปัตตานี!J412+พังงา!J412+พัทลุง!J412+ภูเก็ต!J412+ยะลา!J412+ระนอง!J412+สงขลา!J412+สตูล!J412+สุราษฎร์ธานี!J412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กระบี่!J413+ชุมพร!J413+ตรัง!J413+นครศรีธรรมราช!J413+นราธิวาส!J413+ปัตตานี!J413+พังงา!J413+พัทลุง!J413+ภูเก็ต!J413+ยะลา!J413+ระนอง!J413+สงขลา!J413+สตูล!J413+สุราษฎร์ธานี!J413</f>
        <v>14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กระบี่!J414+ชุมพร!J414+ตรัง!J414+นครศรีธรรมราช!J414+นราธิวาส!J414+ปัตตานี!J414+พังงา!J414+พัทลุง!J414+ภูเก็ต!J414+ยะลา!J414+ระนอง!J414+สงขลา!J414+สตูล!J414+สุราษฎร์ธานี!J414</f>
        <v>14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กระบี่!J415+ชุมพร!J415+ตรัง!J415+นครศรีธรรมราช!J415+นราธิวาส!J415+ปัตตานี!J415+พังงา!J415+พัทลุง!J415+ภูเก็ต!J415+ยะลา!J415+ระนอง!J415+สงขลา!J415+สตูล!J415+สุราษฎร์ธานี!J415</f>
        <v>14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กระบี่!I416+ชุมพร!I416+ตรัง!I416+นครศรีธรรมราช!I416+นราธิวาส!I416+ปัตตานี!I416+พังงา!I416+พัทลุง!I416+ภูเก็ต!I416+ยะลา!I416+ระนอง!I416+สงขลา!I416+สตูล!I416+สุราษฎร์ธานี!I416</f>
        <v>540</v>
      </c>
      <c r="J416" s="207">
        <f ca="1">กระบี่!J416+ชุมพร!J416+ตรัง!J416+นครศรีธรรมราช!J416+นราธิวาส!J416+ปัตตานี!J416+พังงา!J416+พัทลุง!J416+ภูเก็ต!J416+ยะลา!J416+ระนอง!J416+สงขลา!J416+สตูล!J416+สุราษฎร์ธานี!J416</f>
        <v>455</v>
      </c>
      <c r="K416" s="208">
        <f t="shared" ref="K416:K432" ca="1" si="80">IF(I416&gt;0,J416*100/I416,0)</f>
        <v>84.259259259259252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กระบี่!I417+ชุมพร!I417+ตรัง!I417+นครศรีธรรมราช!I417+นราธิวาส!I417+ปัตตานี!I417+พังงา!I417+พัทลุง!I417+ภูเก็ต!I417+ยะลา!I417+ระนอง!I417+สงขลา!I417+สตูล!I417+สุราษฎร์ธานี!I417</f>
        <v>135</v>
      </c>
      <c r="J417" s="398">
        <f ca="1">กระบี่!J417+ชุมพร!J417+ตรัง!J417+นครศรีธรรมราช!J417+นราธิวาส!J417+ปัตตานี!J417+พังงา!J417+พัทลุง!J417+ภูเก็ต!J417+ยะลา!J417+ระนอง!J417+สงขลา!J417+สตูล!J417+สุราษฎร์ธานี!J417</f>
        <v>125</v>
      </c>
      <c r="K417" s="208">
        <f t="shared" ca="1" si="80"/>
        <v>92.592592592592595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กระบี่!I418+ชุมพร!I418+ตรัง!I418+นครศรีธรรมราช!I418+นราธิวาส!I418+ปัตตานี!I418+พังงา!I418+พัทลุง!I418+ภูเก็ต!I418+ยะลา!I418+ระนอง!I418+สงขลา!I418+สตูล!I418+สุราษฎร์ธานี!I418</f>
        <v>405</v>
      </c>
      <c r="J418" s="399">
        <f ca="1">กระบี่!J418+ชุมพร!J418+ตรัง!J418+นครศรีธรรมราช!J418+นราธิวาส!J418+ปัตตานี!J418+พังงา!J418+พัทลุง!J418+ภูเก็ต!J418+ยะลา!J418+ระนอง!J418+สงขลา!J418+สตูล!J418+สุราษฎร์ธานี!J418</f>
        <v>345</v>
      </c>
      <c r="K418" s="208">
        <f t="shared" ca="1" si="80"/>
        <v>85.18518518518519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กระบี่!I419+ชุมพร!I419+ตรัง!I419+นครศรีธรรมราช!I419+นราธิวาส!I419+ปัตตานี!I419+พังงา!I419+พัทลุง!I419+ภูเก็ต!I419+ยะลา!I419+ระนอง!I419+สงขลา!I419+สตูล!I419+สุราษฎร์ธานี!I419</f>
        <v>135</v>
      </c>
      <c r="J419" s="400">
        <f ca="1">กระบี่!J419+ชุมพร!J419+ตรัง!J419+นครศรีธรรมราช!J419+นราธิวาส!J419+ปัตตานี!J419+พังงา!J419+พัทลุง!J419+ภูเก็ต!J419+ยะลา!J419+ระนอง!J419+สงขลา!J419+สตูล!J419+สุราษฎร์ธานี!J419</f>
        <v>135</v>
      </c>
      <c r="K419" s="167">
        <f t="shared" ca="1" si="80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กระบี่!I420+ชุมพร!I420+ตรัง!I420+นครศรีธรรมราช!I420+นราธิวาส!I420+ปัตตานี!I420+พังงา!I420+พัทลุง!I420+ภูเก็ต!I420+ยะลา!I420+ระนอง!I420+สงขลา!I420+สตูล!I420+สุราษฎร์ธานี!I420</f>
        <v>135</v>
      </c>
      <c r="J420" s="400">
        <f ca="1">กระบี่!J420+ชุมพร!J420+ตรัง!J420+นครศรีธรรมราช!J420+นราธิวาส!J420+ปัตตานี!J420+พังงา!J420+พัทลุง!J420+ภูเก็ต!J420+ยะลา!J420+ระนอง!J420+สงขลา!J420+สตูล!J420+สุราษฎร์ธานี!J420</f>
        <v>125</v>
      </c>
      <c r="K420" s="294">
        <f t="shared" ca="1" si="80"/>
        <v>92.592592592592595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กระบี่!I421+ชุมพร!I421+ตรัง!I421+นครศรีธรรมราช!I421+นราธิวาส!I421+ปัตตานี!I421+พังงา!I421+พัทลุง!I421+ภูเก็ต!I421+ยะลา!I421+ระนอง!I421+สงขลา!I421+สตูล!I421+สุราษฎร์ธานี!I421</f>
        <v>235</v>
      </c>
      <c r="J421" s="398">
        <f ca="1">กระบี่!J421+ชุมพร!J421+ตรัง!J421+นครศรีธรรมราช!J421+นราธิวาส!J421+ปัตตานี!J421+พังงา!J421+พัทลุง!J421+ภูเก็ต!J421+ยะลา!J421+ระนอง!J421+สงขลา!J421+สตูล!J421+สุราษฎร์ธานี!J421</f>
        <v>190</v>
      </c>
      <c r="K421" s="208">
        <f t="shared" ca="1" si="80"/>
        <v>80.851063829787236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กระบี่!I422+ชุมพร!I422+ตรัง!I422+นครศรีธรรมราช!I422+นราธิวาส!I422+ปัตตานี!I422+พังงา!I422+พัทลุง!I422+ภูเก็ต!I422+ยะลา!I422+ระนอง!I422+สงขลา!I422+สตูล!I422+สุราษฎร์ธานี!I422</f>
        <v>705</v>
      </c>
      <c r="J422" s="399">
        <f ca="1">กระบี่!J422+ชุมพร!J422+ตรัง!J422+นครศรีธรรมราช!J422+นราธิวาส!J422+ปัตตานี!J422+พังงา!J422+พัทลุง!J422+ภูเก็ต!J422+ยะลา!J422+ระนอง!J422+สงขลา!J422+สตูล!J422+สุราษฎร์ธานี!J422</f>
        <v>555</v>
      </c>
      <c r="K422" s="208">
        <f t="shared" ca="1" si="80"/>
        <v>78.723404255319153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กระบี่!I423+ชุมพร!I423+ตรัง!I423+นครศรีธรรมราช!I423+นราธิวาส!I423+ปัตตานี!I423+พังงา!I423+พัทลุง!I423+ภูเก็ต!I423+ยะลา!I423+ระนอง!I423+สงขลา!I423+สตูล!I423+สุราษฎร์ธานี!I423</f>
        <v>235</v>
      </c>
      <c r="J423" s="400">
        <f ca="1">กระบี่!J423+ชุมพร!J423+ตรัง!J423+นครศรีธรรมราช!J423+นราธิวาส!J423+ปัตตานี!J423+พังงา!J423+พัทลุง!J423+ภูเก็ต!J423+ยะลา!J423+ระนอง!J423+สงขลา!J423+สตูล!J423+สุราษฎร์ธานี!J423</f>
        <v>235</v>
      </c>
      <c r="K423" s="167">
        <f t="shared" ca="1" si="80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กระบี่!I424+ชุมพร!I424+ตรัง!I424+นครศรีธรรมราช!I424+นราธิวาส!I424+ปัตตานี!I424+พังงา!I424+พัทลุง!I424+ภูเก็ต!I424+ยะลา!I424+ระนอง!I424+สงขลา!I424+สตูล!I424+สุราษฎร์ธานี!I424</f>
        <v>235</v>
      </c>
      <c r="J424" s="400">
        <f ca="1">กระบี่!J424+ชุมพร!J424+ตรัง!J424+นครศรีธรรมราช!J424+นราธิวาส!J424+ปัตตานี!J424+พังงา!J424+พัทลุง!J424+ภูเก็ต!J424+ยะลา!J424+ระนอง!J424+สงขลา!J424+สตูล!J424+สุราษฎร์ธานี!J424</f>
        <v>210</v>
      </c>
      <c r="K424" s="167">
        <f t="shared" ca="1" si="80"/>
        <v>89.361702127659569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กระบี่!I425+ชุมพร!I425+ตรัง!I425+นครศรีธรรมราช!I425+นราธิวาส!I425+ปัตตานี!I425+พังงา!I425+พัทลุง!I425+ภูเก็ต!I425+ยะลา!I425+ระนอง!I425+สงขลา!I425+สตูล!I425+สุราษฎร์ธานี!I425</f>
        <v>235</v>
      </c>
      <c r="J425" s="400">
        <f ca="1">กระบี่!J425+ชุมพร!J425+ตรัง!J425+นครศรีธรรมราช!J425+นราธิวาส!J425+ปัตตานี!J425+พังงา!J425+พัทลุง!J425+ภูเก็ต!J425+ยะลา!J425+ระนอง!J425+สงขลา!J425+สตูล!J425+สุราษฎร์ธานี!J425</f>
        <v>190</v>
      </c>
      <c r="K425" s="167">
        <f t="shared" ca="1" si="80"/>
        <v>80.851063829787236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กระบี่!I426+ชุมพร!I426+ตรัง!I426+นครศรีธรรมราช!I426+นราธิวาส!I426+ปัตตานี!I426+พังงา!I426+พัทลุง!I426+ภูเก็ต!I426+ยะลา!I426+ระนอง!I426+สงขลา!I426+สตูล!I426+สุราษฎร์ธานี!I426</f>
        <v>170</v>
      </c>
      <c r="J426" s="398">
        <f ca="1">กระบี่!J426+ชุมพร!J426+ตรัง!J426+นครศรีธรรมราช!J426+นราธิวาส!J426+ปัตตานี!J426+พังงา!J426+พัทลุง!J426+ภูเก็ต!J426+ยะลา!J426+ระนอง!J426+สงขลา!J426+สตูล!J426+สุราษฎร์ธานี!J426</f>
        <v>140</v>
      </c>
      <c r="K426" s="208">
        <f t="shared" ca="1" si="80"/>
        <v>82.352941176470594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กระบี่!I427+ชุมพร!I427+ตรัง!I427+นครศรีธรรมราช!I427+นราธิวาส!I427+ปัตตานี!I427+พังงา!I427+พัทลุง!I427+ภูเก็ต!I427+ยะลา!I427+ระนอง!I427+สงขลา!I427+สตูล!I427+สุราษฎร์ธานี!I427</f>
        <v>510</v>
      </c>
      <c r="J427" s="399">
        <f ca="1">กระบี่!J427+ชุมพร!J427+ตรัง!J427+นครศรีธรรมราช!J427+นราธิวาส!J427+ปัตตานี!J427+พังงา!J427+พัทลุง!J427+ภูเก็ต!J427+ยะลา!J427+ระนอง!J427+สงขลา!J427+สตูล!J427+สุราษฎร์ธานี!J427</f>
        <v>390</v>
      </c>
      <c r="K427" s="208">
        <f t="shared" ca="1" si="80"/>
        <v>76.470588235294116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กระบี่!I428+ชุมพร!I428+ตรัง!I428+นครศรีธรรมราช!I428+นราธิวาส!I428+ปัตตานี!I428+พังงา!I428+พัทลุง!I428+ภูเก็ต!I428+ยะลา!I428+ระนอง!I428+สงขลา!I428+สตูล!I428+สุราษฎร์ธานี!I428</f>
        <v>170</v>
      </c>
      <c r="J428" s="400">
        <f ca="1">กระบี่!J428+ชุมพร!J428+ตรัง!J428+นครศรีธรรมราช!J428+นราธิวาส!J428+ปัตตานี!J428+พังงา!J428+พัทลุง!J428+ภูเก็ต!J428+ยะลา!J428+ระนอง!J428+สงขลา!J428+สตูล!J428+สุราษฎร์ธานี!J428</f>
        <v>150</v>
      </c>
      <c r="K428" s="167">
        <f t="shared" ca="1" si="80"/>
        <v>88.235294117647058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กระบี่!I429+ชุมพร!I429+ตรัง!I429+นครศรีธรรมราช!I429+นราธิวาส!I429+ปัตตานี!I429+พังงา!I429+พัทลุง!I429+ภูเก็ต!I429+ยะลา!I429+ระนอง!I429+สงขลา!I429+สตูล!I429+สุราษฎร์ธานี!I429</f>
        <v>170</v>
      </c>
      <c r="J429" s="400">
        <f ca="1">กระบี่!J429+ชุมพร!J429+ตรัง!J429+นครศรีธรรมราช!J429+นราธิวาส!J429+ปัตตานี!J429+พังงา!J429+พัทลุง!J429+ภูเก็ต!J429+ยะลา!J429+ระนอง!J429+สงขลา!J429+สตูล!J429+สุราษฎร์ธานี!J429</f>
        <v>140</v>
      </c>
      <c r="K429" s="167">
        <f t="shared" ca="1" si="80"/>
        <v>82.352941176470594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กระบี่!I430+ชุมพร!I430+ตรัง!I430+นครศรีธรรมราช!I430+นราธิวาส!I430+ปัตตานี!I430+พังงา!I430+พัทลุง!I430+ภูเก็ต!I430+ยะลา!I430+ระนอง!I430+สงขลา!I430+สตูล!I430+สุราษฎร์ธานี!I430</f>
        <v>370</v>
      </c>
      <c r="J430" s="398">
        <f ca="1">กระบี่!J430+ชุมพร!J430+ตรัง!J430+นครศรีธรรมราช!J430+นราธิวาส!J430+ปัตตานี!J430+พังงา!J430+พัทลุง!J430+ภูเก็ต!J430+ยะลา!J430+ระนอง!J430+สงขลา!J430+สตูล!J430+สุราษฎร์ธานี!J430</f>
        <v>80</v>
      </c>
      <c r="K430" s="208">
        <f t="shared" ca="1" si="80"/>
        <v>21.621621621621621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กระบี่!I431+ชุมพร!I431+ตรัง!I431+นครศรีธรรมราช!I431+นราธิวาส!I431+ปัตตานี!I431+พังงา!I431+พัทลุง!I431+ภูเก็ต!I431+ยะลา!I431+ระนอง!I431+สงขลา!I431+สตูล!I431+สุราษฎร์ธานี!I431</f>
        <v>135</v>
      </c>
      <c r="J431" s="400">
        <f ca="1">กระบี่!J431+ชุมพร!J431+ตรัง!J431+นครศรีธรรมราช!J431+นราธิวาส!J431+ปัตตานี!J431+พังงา!J431+พัทลุง!J431+ภูเก็ต!J431+ยะลา!J431+ระนอง!J431+สงขลา!J431+สตูล!J431+สุราษฎร์ธานี!J431</f>
        <v>55</v>
      </c>
      <c r="K431" s="167">
        <f t="shared" ca="1" si="80"/>
        <v>40.74074074074074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กระบี่!I432+ชุมพร!I432+ตรัง!I432+นครศรีธรรมราช!I432+นราธิวาส!I432+ปัตตานี!I432+พังงา!I432+พัทลุง!I432+ภูเก็ต!I432+ยะลา!I432+ระนอง!I432+สงขลา!I432+สตูล!I432+สุราษฎร์ธานี!I432</f>
        <v>235</v>
      </c>
      <c r="J432" s="400">
        <f ca="1">กระบี่!J432+ชุมพร!J432+ตรัง!J432+นครศรีธรรมราช!J432+นราธิวาส!J432+ปัตตานี!J432+พังงา!J432+พัทลุง!J432+ภูเก็ต!J432+ยะลา!J432+ระนอง!J432+สงขลา!J432+สตูล!J432+สุราษฎร์ธานี!J432</f>
        <v>35</v>
      </c>
      <c r="K432" s="167">
        <f t="shared" ca="1" si="80"/>
        <v>14.893617021276595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กระบี่!J433+ชุมพร!J433+ตรัง!J433+นครศรีธรรมราช!J433+นราธิวาส!J433+ปัตตานี!J433+พังงา!J433+พัทลุง!J433+ภูเก็ต!J433+ยะลา!J433+ระนอง!J433+สงขลา!J433+สตูล!J433+สุราษฎร์ธานี!J433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กระบี่!J434+ชุมพร!J434+ตรัง!J434+นครศรีธรรมราช!J434+นราธิวาส!J434+ปัตตานี!J434+พังงา!J434+พัทลุง!J434+ภูเก็ต!J434+ยะลา!J434+ระนอง!J434+สงขลา!J434+สตูล!J434+สุราษฎร์ธานี!J434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กระบี่!I435+ชุมพร!I435+ตรัง!I435+นครศรีธรรมราช!I435+นราธิวาส!I435+ปัตตานี!I435+พังงา!I435+พัทลุง!I435+ภูเก็ต!I435+ยะลา!I435+ระนอง!I435+สงขลา!I435+สตูล!I435+สุราษฎร์ธานี!I435</f>
        <v>235</v>
      </c>
      <c r="J435" s="416">
        <f ca="1">กระบี่!J435+ชุมพร!J435+ตรัง!J435+นครศรีธรรมราช!J435+นราธิวาส!J435+ปัตตานี!J435+พังงา!J435+พัทลุง!J435+ภูเก็ต!J435+ยะลา!J435+ระนอง!J435+สงขลา!J435+สตูล!J435+สุราษฎร์ธานี!J435</f>
        <v>235</v>
      </c>
      <c r="K435" s="417">
        <f ca="1">IF(I435&gt;0,J435*100/I435,0)</f>
        <v>100</v>
      </c>
      <c r="L435" s="418">
        <f ca="1">กระบี่!L435+ชุมพร!L435+ตรัง!L435+นครศรีธรรมราช!L435+นราธิวาส!L435+ปัตตานี!L435+พังงา!L435+พัทลุง!L435+ภูเก็ต!L435+ยะลา!L435+ระนอง!L435+สงขลา!L435+สตูล!L435+สุราษฎร์ธานี!L435</f>
        <v>2299500</v>
      </c>
      <c r="M435" s="418"/>
      <c r="N435" s="418">
        <f ca="1">กระบี่!N435+ชุมพร!N435+ตรัง!N435+นครศรีธรรมราช!N435+นราธิวาส!N435+ปัตตานี!N435+พังงา!N435+พัทลุง!N435+ภูเก็ต!N435+ยะลา!N435+ระนอง!N435+สงขลา!N435+สตูล!N435+สุราษฎร์ธานี!N435</f>
        <v>878304.41999999993</v>
      </c>
      <c r="O435" s="418">
        <f t="shared" ref="O435:O439" ca="1" si="81">+IF(L435&gt;0,N435*100/L435,0)</f>
        <v>38.195452054794522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กระบี่!L436+ชุมพร!L436+ตรัง!L436+นครศรีธรรมราช!L436+นราธิวาส!L436+ปัตตานี!L436+พังงา!L436+พัทลุง!L436+ภูเก็ต!L436+ยะลา!L436+ระนอง!L436+สงขลา!L436+สตูล!L436+สุราษฎร์ธานี!L436</f>
        <v>0</v>
      </c>
      <c r="M436" s="168"/>
      <c r="N436" s="175">
        <f ca="1">กระบี่!N436+ชุมพร!N436+ตรัง!N436+นครศรีธรรมราช!N436+นราธิวาส!N436+ปัตตานี!N436+พังงา!N436+พัทลุง!N436+ภูเก็ต!N436+ยะลา!N436+ระนอง!N436+สงขลา!N436+สตูล!N436+สุราษฎร์ธานี!N436</f>
        <v>0</v>
      </c>
      <c r="O436" s="175">
        <f t="shared" ca="1" si="81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กระบี่!L437+ชุมพร!L437+ตรัง!L437+นครศรีธรรมราช!L437+นราธิวาส!L437+ปัตตานี!L437+พังงา!L437+พัทลุง!L437+ภูเก็ต!L437+ยะลา!L437+ระนอง!L437+สงขลา!L437+สตูล!L437+สุราษฎร์ธานี!L437</f>
        <v>2299500</v>
      </c>
      <c r="M437" s="169"/>
      <c r="N437" s="175">
        <f ca="1">กระบี่!N437+ชุมพร!N437+ตรัง!N437+นครศรีธรรมราช!N437+นราธิวาส!N437+ปัตตานี!N437+พังงา!N437+พัทลุง!N437+ภูเก็ต!N437+ยะลา!N437+ระนอง!N437+สงขลา!N437+สตูล!N437+สุราษฎร์ธานี!N437</f>
        <v>878304.41999999993</v>
      </c>
      <c r="O437" s="175">
        <f t="shared" ca="1" si="81"/>
        <v>38.195452054794522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กระบี่!L438+ชุมพร!L438+ตรัง!L438+นครศรีธรรมราช!L438+นราธิวาส!L438+ปัตตานี!L438+พังงา!L438+พัทลุง!L438+ภูเก็ต!L438+ยะลา!L438+ระนอง!L438+สงขลา!L438+สตูล!L438+สุราษฎร์ธานี!L438</f>
        <v>0</v>
      </c>
      <c r="M438" s="175"/>
      <c r="N438" s="175">
        <f ca="1">กระบี่!N438+ชุมพร!N438+ตรัง!N438+นครศรีธรรมราช!N438+นราธิวาส!N438+ปัตตานี!N438+พังงา!N438+พัทลุง!N438+ภูเก็ต!N438+ยะลา!N438+ระนอง!N438+สงขลา!N438+สตูล!N438+สุราษฎร์ธานี!N438</f>
        <v>0</v>
      </c>
      <c r="O438" s="175">
        <f t="shared" ca="1" si="81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กระบี่!L439+ชุมพร!L439+ตรัง!L439+นครศรีธรรมราช!L439+นราธิวาส!L439+ปัตตานี!L439+พังงา!L439+พัทลุง!L439+ภูเก็ต!L439+ยะลา!L439+ระนอง!L439+สงขลา!L439+สตูล!L439+สุราษฎร์ธานี!L439</f>
        <v>1292500</v>
      </c>
      <c r="M439" s="175"/>
      <c r="N439" s="175">
        <f ca="1">กระบี่!N439+ชุมพร!N439+ตรัง!N439+นครศรีธรรมราช!N439+นราธิวาส!N439+ปัตตานี!N439+พังงา!N439+พัทลุง!N439+ภูเก็ต!N439+ยะลา!N439+ระนอง!N439+สงขลา!N439+สตูล!N439+สุราษฎร์ธานี!N439</f>
        <v>775304.41999999993</v>
      </c>
      <c r="O439" s="175">
        <f t="shared" ca="1" si="81"/>
        <v>59.984868085106385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กระบี่!N440+ชุมพร!N440+ตรัง!N440+นครศรีธรรมราช!N440+นราธิวาส!N440+ปัตตานี!N440+พังงา!N440+พัทลุง!N440+ภูเก็ต!N440+ยะลา!N440+ระนอง!N440+สงขลา!N440+สตูล!N440+สุราษฎร์ธานี!N440</f>
        <v>482087.27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กระบี่!N441+ชุมพร!N441+ตรัง!N441+นครศรีธรรมราช!N441+นราธิวาส!N441+ปัตตานี!N441+พังงา!N441+พัทลุง!N441+ภูเก็ต!N441+ยะลา!N441+ระนอง!N441+สงขลา!N441+สตูล!N441+สุราษฎร์ธานี!N441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กระบี่!N442+ชุมพร!N442+ตรัง!N442+นครศรีธรรมราช!N442+นราธิวาส!N442+ปัตตานี!N442+พังงา!N442+พัทลุง!N442+ภูเก็ต!N442+ยะลา!N442+ระนอง!N442+สงขลา!N442+สตูล!N442+สุราษฎร์ธานี!N442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กระบี่!N443+ชุมพร!N443+ตรัง!N443+นครศรีธรรมราช!N443+นราธิวาส!N443+ปัตตานี!N443+พังงา!N443+พัทลุง!N443+ภูเก็ต!N443+ยะลา!N443+ระนอง!N443+สงขลา!N443+สตูล!N443+สุราษฎร์ธานี!N443</f>
        <v>293217.15000000002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กระบี่!J445+ชุมพร!J445+ตรัง!J445+นครศรีธรรมราช!J445+นราธิวาส!J445+ปัตตานี!J445+พังงา!J445+พัทลุง!J445+ภูเก็ต!J445+ยะลา!J445+ระนอง!J445+สงขลา!J445+สตูล!J445+สุราษฎร์ธานี!J445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กระบี่!J446+ชุมพร!J446+ตรัง!J446+นครศรีธรรมราช!J446+นราธิวาส!J446+ปัตตานี!J446+พังงา!J446+พัทลุง!J446+ภูเก็ต!J446+ยะลา!J446+ระนอง!J446+สงขลา!J446+สตูล!J446+สุราษฎร์ธานี!J446</f>
        <v>14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กระบี่!J447+ชุมพร!J447+ตรัง!J447+นครศรีธรรมราช!J447+นราธิวาส!J447+ปัตตานี!J447+พังงา!J447+พัทลุง!J447+ภูเก็ต!J447+ยะลา!J447+ระนอง!J447+สงขลา!J447+สตูล!J447+สุราษฎร์ธานี!J447</f>
        <v>14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กระบี่!J448+ชุมพร!J448+ตรัง!J448+นครศรีธรรมราช!J448+นราธิวาส!J448+ปัตตานี!J448+พังงา!J448+พัทลุง!J448+ภูเก็ต!J448+ยะลา!J448+ระนอง!J448+สงขลา!J448+สตูล!J448+สุราษฎร์ธานี!J448</f>
        <v>14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กระบี่!I449+ชุมพร!I449+ตรัง!I449+นครศรีธรรมราช!I449+นราธิวาส!I449+ปัตตานี!I449+พังงา!I449+พัทลุง!I449+ภูเก็ต!I449+ยะลา!I449+ระนอง!I449+สงขลา!I449+สตูล!I449+สุราษฎร์ธานี!I449</f>
        <v>235</v>
      </c>
      <c r="J449" s="207">
        <f ca="1">กระบี่!J449+ชุมพร!J449+ตรัง!J449+นครศรีธรรมราช!J449+นราธิวาส!J449+ปัตตานี!J449+พังงา!J449+พัทลุง!J449+ภูเก็ต!J449+ยะลา!J449+ระนอง!J449+สงขลา!J449+สตูล!J449+สุราษฎร์ธานี!J449</f>
        <v>235</v>
      </c>
      <c r="K449" s="167">
        <f t="shared" ref="K449:K452" ca="1" si="82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กระบี่!I450+ชุมพร!I450+ตรัง!I450+นครศรีธรรมราช!I450+นราธิวาส!I450+ปัตตานี!I450+พังงา!I450+พัทลุง!I450+ภูเก็ต!I450+ยะลา!I450+ระนอง!I450+สงขลา!I450+สตูล!I450+สุราษฎร์ธานี!I450</f>
        <v>195</v>
      </c>
      <c r="J450" s="195">
        <f ca="1">กระบี่!J450+ชุมพร!J450+ตรัง!J450+นครศรีธรรมราช!J450+นราธิวาส!J450+ปัตตานี!J450+พังงา!J450+พัทลุง!J450+ภูเก็ต!J450+ยะลา!J450+ระนอง!J450+สงขลา!J450+สตูล!J450+สุราษฎร์ธานี!J450</f>
        <v>195</v>
      </c>
      <c r="K450" s="167">
        <f t="shared" ca="1" si="82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กระบี่!I451+ชุมพร!I451+ตรัง!I451+นครศรีธรรมราช!I451+นราธิวาส!I451+ปัตตานี!I451+พังงา!I451+พัทลุง!I451+ภูเก็ต!I451+ยะลา!I451+ระนอง!I451+สงขลา!I451+สตูล!I451+สุราษฎร์ธานี!I451</f>
        <v>40</v>
      </c>
      <c r="J451" s="194">
        <f ca="1">กระบี่!J451+ชุมพร!J451+ตรัง!J451+นครศรีธรรมราช!J451+นราธิวาส!J451+ปัตตานี!J451+พังงา!J451+พัทลุง!J451+ภูเก็ต!J451+ยะลา!J451+ระนอง!J451+สงขลา!J451+สตูล!J451+สุราษฎร์ธานี!J451</f>
        <v>40</v>
      </c>
      <c r="K451" s="167">
        <f t="shared" ca="1" si="82"/>
        <v>100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กระบี่!I452+ชุมพร!I452+ตรัง!I452+นครศรีธรรมราช!I452+นราธิวาส!I452+ปัตตานี!I452+พังงา!I452+พัทลุง!I452+ภูเก็ต!I452+ยะลา!I452+ระนอง!I452+สงขลา!I452+สตูล!I452+สุราษฎร์ธานี!I452</f>
        <v>0</v>
      </c>
      <c r="J452" s="194">
        <f ca="1">กระบี่!J452+ชุมพร!J452+ตรัง!J452+นครศรีธรรมราช!J452+นราธิวาส!J452+ปัตตานี!J452+พังงา!J452+พัทลุง!J452+ภูเก็ต!J452+ยะลา!J452+ระนอง!J452+สงขลา!J452+สตูล!J452+สุราษฎร์ธานี!J452</f>
        <v>0</v>
      </c>
      <c r="K452" s="167">
        <f t="shared" ca="1" si="82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กระบี่!J453+ชุมพร!J453+ตรัง!J453+นครศรีธรรมราช!J453+นราธิวาส!J453+ปัตตานี!J453+พังงา!J453+พัทลุง!J453+ภูเก็ต!J453+ยะลา!J453+ระนอง!J453+สงขลา!J453+สตูล!J453+สุราษฎร์ธานี!J453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กระบี่!J454+ชุมพร!J454+ตรัง!J454+นครศรีธรรมราช!J454+นราธิวาส!J454+ปัตตานี!J454+พังงา!J454+พัทลุง!J454+ภูเก็ต!J454+ยะลา!J454+ระนอง!J454+สงขลา!J454+สตูล!J454+สุราษฎร์ธานี!J454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กระบี่!I455+ชุมพร!I455+ตรัง!I455+นครศรีธรรมราช!I455+นราธิวาส!I455+ปัตตานี!I455+พังงา!I455+พัทลุง!I455+ภูเก็ต!I455+ยะลา!I455+ระนอง!I455+สงขลา!I455+สตูล!I455+สุราษฎร์ธานี!I455</f>
        <v>514474</v>
      </c>
      <c r="J455" s="377">
        <f ca="1">กระบี่!J455+ชุมพร!J455+ตรัง!J455+นครศรีธรรมราช!J455+นราธิวาส!J455+ปัตตานี!J455+พังงา!J455+พัทลุง!J455+ภูเก็ต!J455+ยะลา!J455+ระนอง!J455+สงขลา!J455+สตูล!J455+สุราษฎร์ธานี!J455</f>
        <v>299782.19</v>
      </c>
      <c r="K455" s="378">
        <f ca="1">IF(I455&gt;0,J455*100/I455,0)</f>
        <v>58.26964822323383</v>
      </c>
      <c r="L455" s="379">
        <f ca="1">กระบี่!L455+ชุมพร!L455+ตรัง!L455+นครศรีธรรมราช!L455+นราธิวาส!L455+ปัตตานี!L455+พังงา!L455+พัทลุง!L455+ภูเก็ต!L455+ยะลา!L455+ระนอง!L455+สงขลา!L455+สตูล!L455+สุราษฎร์ธานี!L455</f>
        <v>4045460.0999999996</v>
      </c>
      <c r="M455" s="379"/>
      <c r="N455" s="379">
        <f ca="1">กระบี่!N455+ชุมพร!N455+ตรัง!N455+นครศรีธรรมราช!N455+นราธิวาส!N455+ปัตตานี!N455+พังงา!N455+พัทลุง!N455+ภูเก็ต!N455+ยะลา!N455+ระนอง!N455+สงขลา!N455+สตูล!N455+สุราษฎร์ธานี!N455</f>
        <v>909312.29999999993</v>
      </c>
      <c r="O455" s="379">
        <f t="shared" ref="O455:O459" ca="1" si="83">+IF(L455&gt;0,N455*100/L455,0)</f>
        <v>22.477351834467484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กระบี่!L456+ชุมพร!L456+ตรัง!L456+นครศรีธรรมราช!L456+นราธิวาส!L456+ปัตตานี!L456+พังงา!L456+พัทลุง!L456+ภูเก็ต!L456+ยะลา!L456+ระนอง!L456+สงขลา!L456+สตูล!L456+สุราษฎร์ธานี!L456</f>
        <v>0</v>
      </c>
      <c r="M456" s="168"/>
      <c r="N456" s="175">
        <f ca="1">กระบี่!N456+ชุมพร!N456+ตรัง!N456+นครศรีธรรมราช!N456+นราธิวาส!N456+ปัตตานี!N456+พังงา!N456+พัทลุง!N456+ภูเก็ต!N456+ยะลา!N456+ระนอง!N456+สงขลา!N456+สตูล!N456+สุราษฎร์ธานี!N456</f>
        <v>0</v>
      </c>
      <c r="O456" s="175">
        <f t="shared" ca="1" si="83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กระบี่!L457+ชุมพร!L457+ตรัง!L457+นครศรีธรรมราช!L457+นราธิวาส!L457+ปัตตานี!L457+พังงา!L457+พัทลุง!L457+ภูเก็ต!L457+ยะลา!L457+ระนอง!L457+สงขลา!L457+สตูล!L457+สุราษฎร์ธานี!L457</f>
        <v>4045460.0999999996</v>
      </c>
      <c r="M457" s="169"/>
      <c r="N457" s="175">
        <f ca="1">กระบี่!N457+ชุมพร!N457+ตรัง!N457+นครศรีธรรมราช!N457+นราธิวาส!N457+ปัตตานี!N457+พังงา!N457+พัทลุง!N457+ภูเก็ต!N457+ยะลา!N457+ระนอง!N457+สงขลา!N457+สตูล!N457+สุราษฎร์ธานี!N457</f>
        <v>909312.29999999993</v>
      </c>
      <c r="O457" s="175">
        <f t="shared" ca="1" si="83"/>
        <v>22.477351834467484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กระบี่!L458+ชุมพร!L458+ตรัง!L458+นครศรีธรรมราช!L458+นราธิวาส!L458+ปัตตานี!L458+พังงา!L458+พัทลุง!L458+ภูเก็ต!L458+ยะลา!L458+ระนอง!L458+สงขลา!L458+สตูล!L458+สุราษฎร์ธานี!L458</f>
        <v>0</v>
      </c>
      <c r="M458" s="175"/>
      <c r="N458" s="175">
        <f ca="1">กระบี่!N458+ชุมพร!N458+ตรัง!N458+นครศรีธรรมราช!N458+นราธิวาส!N458+ปัตตานี!N458+พังงา!N458+พัทลุง!N458+ภูเก็ต!N458+ยะลา!N458+ระนอง!N458+สงขลา!N458+สตูล!N458+สุราษฎร์ธานี!N458</f>
        <v>0</v>
      </c>
      <c r="O458" s="175">
        <f t="shared" ca="1" si="83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กระบี่!L459+ชุมพร!L459+ตรัง!L459+นครศรีธรรมราช!L459+นราธิวาส!L459+ปัตตานี!L459+พังงา!L459+พัทลุง!L459+ภูเก็ต!L459+ยะลา!L459+ระนอง!L459+สงขลา!L459+สตูล!L459+สุราษฎร์ธานี!L459</f>
        <v>4045460.0999999996</v>
      </c>
      <c r="M459" s="175"/>
      <c r="N459" s="175">
        <f ca="1">กระบี่!N459+ชุมพร!N459+ตรัง!N459+นครศรีธรรมราช!N459+นราธิวาส!N459+ปัตตานี!N459+พังงา!N459+พัทลุง!N459+ภูเก็ต!N459+ยะลา!N459+ระนอง!N459+สงขลา!N459+สตูล!N459+สุราษฎร์ธานี!N459</f>
        <v>909312.29999999993</v>
      </c>
      <c r="O459" s="175">
        <f t="shared" ca="1" si="83"/>
        <v>22.477351834467484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กระบี่!N460+ชุมพร!N460+ตรัง!N460+นครศรีธรรมราช!N460+นราธิวาส!N460+ปัตตานี!N460+พังงา!N460+พัทลุง!N460+ภูเก็ต!N460+ยะลา!N460+ระนอง!N460+สงขลา!N460+สตูล!N460+สุราษฎร์ธานี!N460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กระบี่!N461+ชุมพร!N461+ตรัง!N461+นครศรีธรรมราช!N461+นราธิวาส!N461+ปัตตานี!N461+พังงา!N461+พัทลุง!N461+ภูเก็ต!N461+ยะลา!N461+ระนอง!N461+สงขลา!N461+สตูล!N461+สุราษฎร์ธานี!N461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กระบี่!N462+ชุมพร!N462+ตรัง!N462+นครศรีธรรมราช!N462+นราธิวาส!N462+ปัตตานี!N462+พังงา!N462+พัทลุง!N462+ภูเก็ต!N462+ยะลา!N462+ระนอง!N462+สงขลา!N462+สตูล!N462+สุราษฎร์ธานี!N462</f>
        <v>272306.08999999991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กระบี่!N463+ชุมพร!N463+ตรัง!N463+นครศรีธรรมราช!N463+นราธิวาส!N463+ปัตตานี!N463+พังงา!N463+พัทลุง!N463+ภูเก็ต!N463+ยะลา!N463+ระนอง!N463+สงขลา!N463+สตูล!N463+สุราษฎร์ธานี!N463</f>
        <v>637006.21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กระบี่!I464+ชุมพร!I464+ตรัง!I464+นครศรีธรรมราช!I464+นราธิวาส!I464+ปัตตานี!I464+พังงา!I464+พัทลุง!I464+ภูเก็ต!I464+ยะลา!I464+ระนอง!I464+สงขลา!I464+สตูล!I464+สุราษฎร์ธานี!I464</f>
        <v>514474</v>
      </c>
      <c r="J464" s="273">
        <f ca="1">กระบี่!J464+ชุมพร!J464+ตรัง!J464+นครศรีธรรมราช!J464+นราธิวาส!J464+ปัตตานี!J464+พังงา!J464+พัทลุง!J464+ภูเก็ต!J464+ยะลา!J464+ระนอง!J464+สงขลา!J464+สตูล!J464+สุราษฎร์ธานี!J464</f>
        <v>299782.19</v>
      </c>
      <c r="K464" s="274">
        <f t="shared" ref="K464:K515" ca="1" si="84">IF(I464&gt;0,J464*100/I464,0)</f>
        <v>58.26964822323383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กระบี่!I465+ชุมพร!I465+ตรัง!I465+นครศรีธรรมราช!I465+นราธิวาส!I465+ปัตตานี!I465+พังงา!I465+พัทลุง!I465+ภูเก็ต!I465+ยะลา!I465+ระนอง!I465+สงขลา!I465+สตูล!I465+สุราษฎร์ธานี!I465</f>
        <v>514474</v>
      </c>
      <c r="J465" s="426">
        <f ca="1">กระบี่!J465+ชุมพร!J465+ตรัง!J465+นครศรีธรรมราช!J465+นราธิวาส!J465+ปัตตานี!J465+พังงา!J465+พัทลุง!J465+ภูเก็ต!J465+ยะลา!J465+ระนอง!J465+สงขลา!J465+สตูล!J465+สุราษฎร์ธานี!J465</f>
        <v>514481.41000000003</v>
      </c>
      <c r="K465" s="208">
        <f t="shared" ca="1" si="84"/>
        <v>100.00144030602129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กระบี่!I466+ชุมพร!I466+ตรัง!I466+นครศรีธรรมราช!I466+นราธิวาส!I466+ปัตตานี!I466+พังงา!I466+พัทลุง!I466+ภูเก็ต!I466+ยะลา!I466+ระนอง!I466+สงขลา!I466+สตูล!I466+สุราษฎร์ธานี!I466</f>
        <v>51591</v>
      </c>
      <c r="J466" s="426">
        <f ca="1">กระบี่!J466+ชุมพร!J466+ตรัง!J466+นครศรีธรรมราช!J466+นราธิวาส!J466+ปัตตานี!J466+พังงา!J466+พัทลุง!J466+ภูเก็ต!J466+ยะลา!J466+ระนอง!J466+สงขลา!J466+สตูล!J466+สุราษฎร์ธานี!J466</f>
        <v>51590</v>
      </c>
      <c r="K466" s="208">
        <f t="shared" ca="1" si="84"/>
        <v>99.99806167742436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กระบี่!I467+ชุมพร!I467+ตรัง!I467+นครศรีธรรมราช!I467+นราธิวาส!I467+ปัตตานี!I467+พังงา!I467+พัทลุง!I467+ภูเก็ต!I467+ยะลา!I467+ระนอง!I467+สงขลา!I467+สตูล!I467+สุราษฎร์ธานี!I467</f>
        <v>0</v>
      </c>
      <c r="J467" s="195">
        <f ca="1">กระบี่!J467+ชุมพร!J467+ตรัง!J467+นครศรีธรรมราช!J467+นราธิวาส!J467+ปัตตานี!J467+พังงา!J467+พัทลุง!J467+ภูเก็ต!J467+ยะลา!J467+ระนอง!J467+สงขลา!J467+สตูล!J467+สุราษฎร์ธานี!J467</f>
        <v>451194.12</v>
      </c>
      <c r="K467" s="167">
        <f t="shared" ca="1" si="84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กระบี่!I468+ชุมพร!I468+ตรัง!I468+นครศรีธรรมราช!I468+นราธิวาส!I468+ปัตตานี!I468+พังงา!I468+พัทลุง!I468+ภูเก็ต!I468+ยะลา!I468+ระนอง!I468+สงขลา!I468+สตูล!I468+สุราษฎร์ธานี!I468</f>
        <v>0</v>
      </c>
      <c r="J468" s="195">
        <f ca="1">กระบี่!J468+ชุมพร!J468+ตรัง!J468+นครศรีธรรมราช!J468+นราธิวาส!J468+ปัตตานี!J468+พังงา!J468+พัทลุง!J468+ภูเก็ต!J468+ยะลา!J468+ระนอง!J468+สงขลา!J468+สตูล!J468+สุราษฎร์ธานี!J468</f>
        <v>46175</v>
      </c>
      <c r="K468" s="167">
        <f t="shared" ca="1" si="84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กระบี่!I469+ชุมพร!I469+ตรัง!I469+นครศรีธรรมราช!I469+นราธิวาส!I469+ปัตตานี!I469+พังงา!I469+พัทลุง!I469+ภูเก็ต!I469+ยะลา!I469+ระนอง!I469+สงขลา!I469+สตูล!I469+สุราษฎร์ธานี!I469</f>
        <v>0</v>
      </c>
      <c r="J469" s="195">
        <f ca="1">กระบี่!J469+ชุมพร!J469+ตรัง!J469+นครศรีธรรมราช!J469+นราธิวาส!J469+ปัตตานี!J469+พังงา!J469+พัทลุง!J469+ภูเก็ต!J469+ยะลา!J469+ระนอง!J469+สงขลา!J469+สตูล!J469+สุราษฎร์ธานี!J469</f>
        <v>55646.1</v>
      </c>
      <c r="K469" s="167">
        <f t="shared" ca="1" si="84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กระบี่!I470+ชุมพร!I470+ตรัง!I470+นครศรีธรรมราช!I470+นราธิวาส!I470+ปัตตานี!I470+พังงา!I470+พัทลุง!I470+ภูเก็ต!I470+ยะลา!I470+ระนอง!I470+สงขลา!I470+สตูล!I470+สุราษฎร์ธานี!I470</f>
        <v>0</v>
      </c>
      <c r="J470" s="195">
        <f ca="1">กระบี่!J470+ชุมพร!J470+ตรัง!J470+นครศรีธรรมราช!J470+นราธิวาส!J470+ปัตตานี!J470+พังงา!J470+พัทลุง!J470+ภูเก็ต!J470+ยะลา!J470+ระนอง!J470+สงขลา!J470+สตูล!J470+สุราษฎร์ธานี!J470</f>
        <v>4665</v>
      </c>
      <c r="K470" s="167">
        <f t="shared" ca="1" si="84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กระบี่!I471+ชุมพร!I471+ตรัง!I471+นครศรีธรรมราช!I471+นราธิวาส!I471+ปัตตานี!I471+พังงา!I471+พัทลุง!I471+ภูเก็ต!I471+ยะลา!I471+ระนอง!I471+สงขลา!I471+สตูล!I471+สุราษฎร์ธานี!I471</f>
        <v>0</v>
      </c>
      <c r="J471" s="195">
        <f ca="1">กระบี่!J471+ชุมพร!J471+ตรัง!J471+นครศรีธรรมราช!J471+นราธิวาส!J471+ปัตตานี!J471+พังงา!J471+พัทลุง!J471+ภูเก็ต!J471+ยะลา!J471+ระนอง!J471+สงขลา!J471+สตูล!J471+สุราษฎร์ธานี!J471</f>
        <v>7641.1900000000005</v>
      </c>
      <c r="K471" s="167">
        <f t="shared" ca="1" si="84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กระบี่!I472+ชุมพร!I472+ตรัง!I472+นครศรีธรรมราช!I472+นราธิวาส!I472+ปัตตานี!I472+พังงา!I472+พัทลุง!I472+ภูเก็ต!I472+ยะลา!I472+ระนอง!I472+สงขลา!I472+สตูล!I472+สุราษฎร์ธานี!I472</f>
        <v>0</v>
      </c>
      <c r="J472" s="195">
        <f ca="1">กระบี่!J472+ชุมพร!J472+ตรัง!J472+นครศรีธรรมราช!J472+นราธิวาส!J472+ปัตตานี!J472+พังงา!J472+พัทลุง!J472+ภูเก็ต!J472+ยะลา!J472+ระนอง!J472+สงขลา!J472+สตูล!J472+สุราษฎร์ธานี!J472</f>
        <v>750</v>
      </c>
      <c r="K472" s="167">
        <f t="shared" ca="1" si="84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กระบี่!I473+ชุมพร!I473+ตรัง!I473+นครศรีธรรมราช!I473+นราธิวาส!I473+ปัตตานี!I473+พังงา!I473+พัทลุง!I473+ภูเก็ต!I473+ยะลา!I473+ระนอง!I473+สงขลา!I473+สตูล!I473+สุราษฎร์ธานี!I473</f>
        <v>514474</v>
      </c>
      <c r="J473" s="426">
        <f ca="1">กระบี่!J473+ชุมพร!J473+ตรัง!J473+นครศรีธรรมราช!J473+นราธิวาส!J473+ปัตตานี!J473+พังงา!J473+พัทลุง!J473+ภูเก็ต!J473+ยะลา!J473+ระนอง!J473+สงขลา!J473+สตูล!J473+สุราษฎร์ธานี!J473</f>
        <v>406391.67</v>
      </c>
      <c r="K473" s="208">
        <f t="shared" ca="1" si="84"/>
        <v>78.99168276725355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กระบี่!I474+ชุมพร!I474+ตรัง!I474+นครศรีธรรมราช!I474+นราธิวาส!I474+ปัตตานี!I474+พังงา!I474+พัทลุง!I474+ภูเก็ต!I474+ยะลา!I474+ระนอง!I474+สงขลา!I474+สตูล!I474+สุราษฎร์ธานี!I474</f>
        <v>51591</v>
      </c>
      <c r="J474" s="426">
        <f ca="1">กระบี่!J474+ชุมพร!J474+ตรัง!J474+นครศรีธรรมราช!J474+นราธิวาส!J474+ปัตตานี!J474+พังงา!J474+พัทลุง!J474+ภูเก็ต!J474+ยะลา!J474+ระนอง!J474+สงขลา!J474+สตูล!J474+สุราษฎร์ธานี!J474</f>
        <v>40948</v>
      </c>
      <c r="K474" s="208">
        <f t="shared" ca="1" si="84"/>
        <v>79.370432827431145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กระบี่!I475+ชุมพร!I475+ตรัง!I475+นครศรีธรรมราช!I475+นราธิวาส!I475+ปัตตานี!I475+พังงา!I475+พัทลุง!I475+ภูเก็ต!I475+ยะลา!I475+ระนอง!I475+สงขลา!I475+สตูล!I475+สุราษฎร์ธานี!I475</f>
        <v>0</v>
      </c>
      <c r="J475" s="195">
        <f ca="1">กระบี่!J475+ชุมพร!J475+ตรัง!J475+นครศรีธรรมราช!J475+นราธิวาส!J475+ปัตตานี!J475+พังงา!J475+พัทลุง!J475+ภูเก็ต!J475+ยะลา!J475+ระนอง!J475+สงขลา!J475+สตูล!J475+สุราษฎร์ธานี!J475</f>
        <v>386937.38</v>
      </c>
      <c r="K475" s="167">
        <f t="shared" ca="1" si="84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กระบี่!I476+ชุมพร!I476+ตรัง!I476+นครศรีธรรมราช!I476+นราธิวาส!I476+ปัตตานี!I476+พังงา!I476+พัทลุง!I476+ภูเก็ต!I476+ยะลา!I476+ระนอง!I476+สงขลา!I476+สตูล!I476+สุราษฎร์ธานี!I476</f>
        <v>0</v>
      </c>
      <c r="J476" s="195">
        <f ca="1">กระบี่!J476+ชุมพร!J476+ตรัง!J476+นครศรีธรรมราช!J476+นราธิวาส!J476+ปัตตานี!J476+พังงา!J476+พัทลุง!J476+ภูเก็ต!J476+ยะลา!J476+ระนอง!J476+สงขลา!J476+สตูล!J476+สุราษฎร์ธานี!J476</f>
        <v>39164</v>
      </c>
      <c r="K476" s="167">
        <f t="shared" ca="1" si="84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กระบี่!I477+ชุมพร!I477+ตรัง!I477+นครศรีธรรมราช!I477+นราธิวาส!I477+ปัตตานี!I477+พังงา!I477+พัทลุง!I477+ภูเก็ต!I477+ยะลา!I477+ระนอง!I477+สงขลา!I477+สตูล!I477+สุราษฎร์ธานี!I477</f>
        <v>0</v>
      </c>
      <c r="J477" s="195">
        <f ca="1">กระบี่!J477+ชุมพร!J477+ตรัง!J477+นครศรีธรรมราช!J477+นราธิวาส!J477+ปัตตานี!J477+พังงา!J477+พัทลุง!J477+ภูเก็ต!J477+ยะลา!J477+ระนอง!J477+สงขลา!J477+สตูล!J477+สุราษฎร์ธานี!J477</f>
        <v>13424</v>
      </c>
      <c r="K477" s="167">
        <f t="shared" ca="1" si="84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กระบี่!I478+ชุมพร!I478+ตรัง!I478+นครศรีธรรมราช!I478+นราธิวาส!I478+ปัตตานี!I478+พังงา!I478+พัทลุง!I478+ภูเก็ต!I478+ยะลา!I478+ระนอง!I478+สงขลา!I478+สตูล!I478+สุราษฎร์ธานี!I478</f>
        <v>0</v>
      </c>
      <c r="J478" s="195">
        <f ca="1">กระบี่!J478+ชุมพร!J478+ตรัง!J478+นครศรีธรรมราช!J478+นราธิวาส!J478+ปัตตานี!J478+พังงา!J478+พัทลุง!J478+ภูเก็ต!J478+ยะลา!J478+ระนอง!J478+สงขลา!J478+สตูล!J478+สุราษฎร์ธานี!J478</f>
        <v>1181</v>
      </c>
      <c r="K478" s="167">
        <f t="shared" ca="1" si="84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กระบี่!I479+ชุมพร!I479+ตรัง!I479+นครศรีธรรมราช!I479+นราธิวาส!I479+ปัตตานี!I479+พังงา!I479+พัทลุง!I479+ภูเก็ต!I479+ยะลา!I479+ระนอง!I479+สงขลา!I479+สตูล!I479+สุราษฎร์ธานี!I479</f>
        <v>0</v>
      </c>
      <c r="J479" s="195">
        <f ca="1">กระบี่!J479+ชุมพร!J479+ตรัง!J479+นครศรีธรรมราช!J479+นราธิวาส!J479+ปัตตานี!J479+พังงา!J479+พัทลุง!J479+ภูเก็ต!J479+ยะลา!J479+ระนอง!J479+สงขลา!J479+สตูล!J479+สุราษฎร์ธานี!J479</f>
        <v>6030.29</v>
      </c>
      <c r="K479" s="167">
        <f t="shared" ca="1" si="84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กระบี่!I480+ชุมพร!I480+ตรัง!I480+นครศรีธรรมราช!I480+นราธิวาส!I480+ปัตตานี!I480+พังงา!I480+พัทลุง!I480+ภูเก็ต!I480+ยะลา!I480+ระนอง!I480+สงขลา!I480+สตูล!I480+สุราษฎร์ธานี!I480</f>
        <v>0</v>
      </c>
      <c r="J480" s="195">
        <f ca="1">กระบี่!J480+ชุมพร!J480+ตรัง!J480+นครศรีธรรมราช!J480+นราธิวาส!J480+ปัตตานี!J480+พังงา!J480+พัทลุง!J480+ภูเก็ต!J480+ยะลา!J480+ระนอง!J480+สงขลา!J480+สตูล!J480+สุราษฎร์ธานี!J480</f>
        <v>603</v>
      </c>
      <c r="K480" s="167">
        <f t="shared" ca="1" si="84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กระบี่!I481+ชุมพร!I481+ตรัง!I481+นครศรีธรรมราช!I481+นราธิวาส!I481+ปัตตานี!I481+พังงา!I481+พัทลุง!I481+ภูเก็ต!I481+ยะลา!I481+ระนอง!I481+สงขลา!I481+สตูล!I481+สุราษฎร์ธานี!I481</f>
        <v>514474</v>
      </c>
      <c r="J481" s="426">
        <f ca="1">กระบี่!J481+ชุมพร!J481+ตรัง!J481+นครศรีธรรมราช!J481+นราธิวาส!J481+ปัตตานี!J481+พังงา!J481+พัทลุง!J481+ภูเก็ต!J481+ยะลา!J481+ระนอง!J481+สงขลา!J481+สตูล!J481+สุราษฎร์ธานี!J481</f>
        <v>299782.19</v>
      </c>
      <c r="K481" s="208">
        <f t="shared" ca="1" si="84"/>
        <v>58.26964822323383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กระบี่!I482+ชุมพร!I482+ตรัง!I482+นครศรีธรรมราช!I482+นราธิวาส!I482+ปัตตานี!I482+พังงา!I482+พัทลุง!I482+ภูเก็ต!I482+ยะลา!I482+ระนอง!I482+สงขลา!I482+สตูล!I482+สุราษฎร์ธานี!I482</f>
        <v>51591</v>
      </c>
      <c r="J482" s="426">
        <f ca="1">กระบี่!J482+ชุมพร!J482+ตรัง!J482+นครศรีธรรมราช!J482+นราธิวาส!J482+ปัตตานี!J482+พังงา!J482+พัทลุง!J482+ภูเก็ต!J482+ยะลา!J482+ระนอง!J482+สงขลา!J482+สตูล!J482+สุราษฎร์ธานี!J482</f>
        <v>28487</v>
      </c>
      <c r="K482" s="208">
        <f t="shared" ca="1" si="84"/>
        <v>55.216995212343235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กระบี่!I483+ชุมพร!I483+ตรัง!I483+นครศรีธรรมราช!I483+นราธิวาส!I483+ปัตตานี!I483+พังงา!I483+พัทลุง!I483+ภูเก็ต!I483+ยะลา!I483+ระนอง!I483+สงขลา!I483+สตูล!I483+สุราษฎร์ธานี!I483</f>
        <v>0</v>
      </c>
      <c r="J483" s="195">
        <f ca="1">กระบี่!J483+ชุมพร!J483+ตรัง!J483+นครศรีธรรมราช!J483+นราธิวาส!J483+ปัตตานี!J483+พังงา!J483+พัทลุง!J483+ภูเก็ต!J483+ยะลา!J483+ระนอง!J483+สงขลา!J483+สตูล!J483+สุราษฎร์ธานี!J483</f>
        <v>268127.66000000003</v>
      </c>
      <c r="K483" s="167">
        <f t="shared" ca="1" si="84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กระบี่!I484+ชุมพร!I484+ตรัง!I484+นครศรีธรรมราช!I484+นราธิวาส!I484+ปัตตานี!I484+พังงา!I484+พัทลุง!I484+ภูเก็ต!I484+ยะลา!I484+ระนอง!I484+สงขลา!I484+สตูล!I484+สุราษฎร์ธานี!I484</f>
        <v>0</v>
      </c>
      <c r="J484" s="195">
        <f ca="1">กระบี่!J484+ชุมพร!J484+ตรัง!J484+นครศรีธรรมราช!J484+นราธิวาส!J484+ปัตตานี!J484+พังงา!J484+พัทลุง!J484+ภูเก็ต!J484+ยะลา!J484+ระนอง!J484+สงขลา!J484+สตูล!J484+สุราษฎร์ธานี!J484</f>
        <v>25999</v>
      </c>
      <c r="K484" s="167">
        <f t="shared" ca="1" si="84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กระบี่!I485+ชุมพร!I485+ตรัง!I485+นครศรีธรรมราช!I485+นราธิวาส!I485+ปัตตานี!I485+พังงา!I485+พัทลุง!I485+ภูเก็ต!I485+ยะลา!I485+ระนอง!I485+สงขลา!I485+สตูล!I485+สุราษฎร์ธานี!I485</f>
        <v>0</v>
      </c>
      <c r="J485" s="195">
        <f ca="1">กระบี่!J485+ชุมพร!J485+ตรัง!J485+นครศรีธรรมราช!J485+นราธิวาส!J485+ปัตตานี!J485+พังงา!J485+พัทลุง!J485+ภูเก็ต!J485+ยะลา!J485+ระนอง!J485+สงขลา!J485+สตูล!J485+สุราษฎร์ธานี!J485</f>
        <v>28860</v>
      </c>
      <c r="K485" s="167">
        <f t="shared" ca="1" si="84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กระบี่!I486+ชุมพร!I486+ตรัง!I486+นครศรีธรรมราช!I486+นราธิวาส!I486+ปัตตานี!I486+พังงา!I486+พัทลุง!I486+ภูเก็ต!I486+ยะลา!I486+ระนอง!I486+สงขลา!I486+สตูล!I486+สุราษฎร์ธานี!I486</f>
        <v>0</v>
      </c>
      <c r="J486" s="195">
        <f ca="1">กระบี่!J486+ชุมพร!J486+ตรัง!J486+นครศรีธรรมราช!J486+นราธิวาส!J486+ปัตตานี!J486+พังงา!J486+พัทลุง!J486+ภูเก็ต!J486+ยะลา!J486+ระนอง!J486+สงขลา!J486+สตูล!J486+สุราษฎร์ธานี!J486</f>
        <v>2185</v>
      </c>
      <c r="K486" s="167">
        <f t="shared" ca="1" si="84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กระบี่!I487+ชุมพร!I487+ตรัง!I487+นครศรีธรรมราช!I487+นราธิวาส!I487+ปัตตานี!I487+พังงา!I487+พัทลุง!I487+ภูเก็ต!I487+ยะลา!I487+ระนอง!I487+สงขลา!I487+สตูล!I487+สุราษฎร์ธานี!I487</f>
        <v>0</v>
      </c>
      <c r="J487" s="426">
        <f ca="1">กระบี่!J487+ชุมพร!J487+ตรัง!J487+นครศรีธรรมราช!J487+นราธิวาส!J487+ปัตตานี!J487+พังงา!J487+พัทลุง!J487+ภูเก็ต!J487+ยะลา!J487+ระนอง!J487+สงขลา!J487+สตูล!J487+สุราษฎร์ธานี!J487</f>
        <v>2792.42</v>
      </c>
      <c r="K487" s="167">
        <f t="shared" ca="1" si="84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กระบี่!I488+ชุมพร!I488+ตรัง!I488+นครศรีธรรมราช!I488+นราธิวาส!I488+ปัตตานี!I488+พังงา!I488+พัทลุง!I488+ภูเก็ต!I488+ยะลา!I488+ระนอง!I488+สงขลา!I488+สตูล!I488+สุราษฎร์ธานี!I488</f>
        <v>0</v>
      </c>
      <c r="J488" s="426">
        <f ca="1">กระบี่!J488+ชุมพร!J488+ตรัง!J488+นครศรีธรรมราช!J488+นราธิวาส!J488+ปัตตานี!J488+พังงา!J488+พัทลุง!J488+ภูเก็ต!J488+ยะลา!J488+ระนอง!J488+สงขลา!J488+สตูล!J488+สุราษฎร์ธานี!J488</f>
        <v>302</v>
      </c>
      <c r="K488" s="167">
        <f t="shared" ca="1" si="84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กระบี่!I489+ชุมพร!I489+ตรัง!I489+นครศรีธรรมราช!I489+นราธิวาส!I489+ปัตตานี!I489+พังงา!I489+พัทลุง!I489+ภูเก็ต!I489+ยะลา!I489+ระนอง!I489+สงขลา!I489+สตูล!I489+สุราษฎร์ธานี!I489</f>
        <v>0</v>
      </c>
      <c r="J489" s="195">
        <f ca="1">กระบี่!J489+ชุมพร!J489+ตรัง!J489+นครศรีธรรมราช!J489+นราธิวาส!J489+ปัตตานี!J489+พังงา!J489+พัทลุง!J489+ภูเก็ต!J489+ยะลา!J489+ระนอง!J489+สงขลา!J489+สตูล!J489+สุราษฎร์ธานี!J489</f>
        <v>2731.42</v>
      </c>
      <c r="K489" s="167">
        <f t="shared" ca="1" si="84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กระบี่!I490+ชุมพร!I490+ตรัง!I490+นครศรีธรรมราช!I490+นราธิวาส!I490+ปัตตานี!I490+พังงา!I490+พัทลุง!I490+ภูเก็ต!I490+ยะลา!I490+ระนอง!I490+สงขลา!I490+สตูล!I490+สุราษฎร์ธานี!I490</f>
        <v>0</v>
      </c>
      <c r="J490" s="195">
        <f ca="1">กระบี่!J490+ชุมพร!J490+ตรัง!J490+นครศรีธรรมราช!J490+นราธิวาส!J490+ปัตตานี!J490+พังงา!J490+พัทลุง!J490+ภูเก็ต!J490+ยะลา!J490+ระนอง!J490+สงขลา!J490+สตูล!J490+สุราษฎร์ธานี!J490</f>
        <v>296</v>
      </c>
      <c r="K490" s="167">
        <f t="shared" ca="1" si="84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กระบี่!I491+ชุมพร!I491+ตรัง!I491+นครศรีธรรมราช!I491+นราธิวาส!I491+ปัตตานี!I491+พังงา!I491+พัทลุง!I491+ภูเก็ต!I491+ยะลา!I491+ระนอง!I491+สงขลา!I491+สตูล!I491+สุราษฎร์ธานี!I491</f>
        <v>0</v>
      </c>
      <c r="J491" s="195">
        <f ca="1">กระบี่!J491+ชุมพร!J491+ตรัง!J491+นครศรีธรรมราช!J491+นราธิวาส!J491+ปัตตานี!J491+พังงา!J491+พัทลุง!J491+ภูเก็ต!J491+ยะลา!J491+ระนอง!J491+สงขลา!J491+สตูล!J491+สุราษฎร์ธานี!J491</f>
        <v>61</v>
      </c>
      <c r="K491" s="167">
        <f t="shared" ca="1" si="84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กระบี่!I492+ชุมพร!I492+ตรัง!I492+นครศรีธรรมราช!I492+นราธิวาส!I492+ปัตตานี!I492+พังงา!I492+พัทลุง!I492+ภูเก็ต!I492+ยะลา!I492+ระนอง!I492+สงขลา!I492+สตูล!I492+สุราษฎร์ธานี!I492</f>
        <v>0</v>
      </c>
      <c r="J492" s="195">
        <f ca="1">กระบี่!J492+ชุมพร!J492+ตรัง!J492+นครศรีธรรมราช!J492+นราธิวาส!J492+ปัตตานี!J492+พังงา!J492+พัทลุง!J492+ภูเก็ต!J492+ยะลา!J492+ระนอง!J492+สงขลา!J492+สตูล!J492+สุราษฎร์ธานี!J492</f>
        <v>6</v>
      </c>
      <c r="K492" s="167">
        <f t="shared" ca="1" si="84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กระบี่!I493+ชุมพร!I493+ตรัง!I493+นครศรีธรรมราช!I493+นราธิวาส!I493+ปัตตานี!I493+พังงา!I493+พัทลุง!I493+ภูเก็ต!I493+ยะลา!I493+ระนอง!I493+สงขลา!I493+สตูล!I493+สุราษฎร์ธานี!I493</f>
        <v>0</v>
      </c>
      <c r="J493" s="195">
        <f ca="1">กระบี่!J493+ชุมพร!J493+ตรัง!J493+นครศรีธรรมราช!J493+นราธิวาส!J493+ปัตตานี!J493+พังงา!J493+พัทลุง!J493+ภูเก็ต!J493+ยะลา!J493+ระนอง!J493+สงขลา!J493+สตูล!J493+สุราษฎร์ธานี!J493</f>
        <v>0</v>
      </c>
      <c r="K493" s="167">
        <f t="shared" ca="1" si="84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กระบี่!I494+ชุมพร!I494+ตรัง!I494+นครศรีธรรมราช!I494+นราธิวาส!I494+ปัตตานี!I494+พังงา!I494+พัทลุง!I494+ภูเก็ต!I494+ยะลา!I494+ระนอง!I494+สงขลา!I494+สตูล!I494+สุราษฎร์ธานี!I494</f>
        <v>0</v>
      </c>
      <c r="J494" s="442">
        <f ca="1">กระบี่!J494+ชุมพร!J494+ตรัง!J494+นครศรีธรรมราช!J494+นราธิวาส!J494+ปัตตานี!J494+พังงา!J494+พัทลุง!J494+ภูเก็ต!J494+ยะลา!J494+ระนอง!J494+สงขลา!J494+สตูล!J494+สุราษฎร์ธานี!J494</f>
        <v>0</v>
      </c>
      <c r="K494" s="294">
        <f t="shared" ca="1" si="84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กระบี่!I495+ชุมพร!I495+ตรัง!I495+นครศรีธรรมราช!I495+นราธิวาส!I495+ปัตตานี!I495+พังงา!I495+พัทลุง!I495+ภูเก็ต!I495+ยะลา!I495+ระนอง!I495+สงขลา!I495+สตูล!I495+สุราษฎร์ธานี!I495</f>
        <v>0</v>
      </c>
      <c r="J495" s="442">
        <f ca="1">กระบี่!J495+ชุมพร!J495+ตรัง!J495+นครศรีธรรมราช!J495+นราธิวาส!J495+ปัตตานี!J495+พังงา!J495+พัทลุง!J495+ภูเก็ต!J495+ยะลา!J495+ระนอง!J495+สงขลา!J495+สตูล!J495+สุราษฎร์ธานี!J495</f>
        <v>2.11</v>
      </c>
      <c r="K495" s="167">
        <f t="shared" ca="1" si="84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กระบี่!I496+ชุมพร!I496+ตรัง!I496+นครศรีธรรมราช!I496+นราธิวาส!I496+ปัตตานี!I496+พังงา!I496+พัทลุง!I496+ภูเก็ต!I496+ยะลา!I496+ระนอง!I496+สงขลา!I496+สตูล!I496+สุราษฎร์ธานี!I496</f>
        <v>0</v>
      </c>
      <c r="J496" s="442">
        <f ca="1">กระบี่!J496+ชุมพร!J496+ตรัง!J496+นครศรีธรรมราช!J496+นราธิวาส!J496+ปัตตานี!J496+พังงา!J496+พัทลุง!J496+ภูเก็ต!J496+ยะลา!J496+ระนอง!J496+สงขลา!J496+สตูล!J496+สุราษฎร์ธานี!J496</f>
        <v>1</v>
      </c>
      <c r="K496" s="294">
        <f t="shared" ca="1" si="84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กระบี่!I497+ชุมพร!I497+ตรัง!I497+นครศรีธรรมราช!I497+นราธิวาส!I497+ปัตตานี!I497+พังงา!I497+พัทลุง!I497+ภูเก็ต!I497+ยะลา!I497+ระนอง!I497+สงขลา!I497+สตูล!I497+สุราษฎร์ธานี!I497</f>
        <v>9523</v>
      </c>
      <c r="J497" s="449">
        <f ca="1">กระบี่!J497+ชุมพร!J497+ตรัง!J497+นครศรีธรรมราช!J497+นราธิวาส!J497+ปัตตานี!J497+พังงา!J497+พัทลุง!J497+ภูเก็ต!J497+ยะลา!J497+ระนอง!J497+สงขลา!J497+สตูล!J497+สุราษฎร์ธานี!J497</f>
        <v>1469.1100000000001</v>
      </c>
      <c r="K497" s="450">
        <f t="shared" ca="1" si="84"/>
        <v>15.426966292134832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กระบี่!I498+ชุมพร!I498+ตรัง!I498+นครศรีธรรมราช!I498+นราธิวาส!I498+ปัตตานี!I498+พังงา!I498+พัทลุง!I498+ภูเก็ต!I498+ยะลา!I498+ระนอง!I498+สงขลา!I498+สตูล!I498+สุราษฎร์ธานี!I498</f>
        <v>9523</v>
      </c>
      <c r="J498" s="426">
        <f ca="1">กระบี่!J498+ชุมพร!J498+ตรัง!J498+นครศรีธรรมราช!J498+นราธิวาส!J498+ปัตตานี!J498+พังงา!J498+พัทลุง!J498+ภูเก็ต!J498+ยะลา!J498+ระนอง!J498+สงขลา!J498+สตูล!J498+สุราษฎร์ธานี!J498</f>
        <v>1469.1100000000001</v>
      </c>
      <c r="K498" s="208">
        <f t="shared" ca="1" si="84"/>
        <v>15.426966292134832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กระบี่!I499+ชุมพร!I499+ตรัง!I499+นครศรีธรรมราช!I499+นราธิวาส!I499+ปัตตานี!I499+พังงา!I499+พัทลุง!I499+ภูเก็ต!I499+ยะลา!I499+ระนอง!I499+สงขลา!I499+สตูล!I499+สุราษฎร์ธานี!I499</f>
        <v>935</v>
      </c>
      <c r="J499" s="426">
        <f ca="1">กระบี่!J499+ชุมพร!J499+ตรัง!J499+นครศรีธรรมราช!J499+นราธิวาส!J499+ปัตตานี!J499+พังงา!J499+พัทลุง!J499+ภูเก็ต!J499+ยะลา!J499+ระนอง!J499+สงขลา!J499+สตูล!J499+สุราษฎร์ธานี!J499</f>
        <v>172</v>
      </c>
      <c r="K499" s="208">
        <f t="shared" ca="1" si="84"/>
        <v>18.395721925133689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กระบี่!I500+ชุมพร!I500+ตรัง!I500+นครศรีธรรมราช!I500+นราธิวาส!I500+ปัตตานี!I500+พังงา!I500+พัทลุง!I500+ภูเก็ต!I500+ยะลา!I500+ระนอง!I500+สงขลา!I500+สตูล!I500+สุราษฎร์ธานี!I500</f>
        <v>0</v>
      </c>
      <c r="J500" s="166">
        <f ca="1">กระบี่!J500+ชุมพร!J500+ตรัง!J500+นครศรีธรรมราช!J500+นราธิวาส!J500+ปัตตานี!J500+พังงา!J500+พัทลุง!J500+ภูเก็ต!J500+ยะลา!J500+ระนอง!J500+สงขลา!J500+สตูล!J500+สุราษฎร์ธานี!J500</f>
        <v>1424.22</v>
      </c>
      <c r="K500" s="167">
        <f t="shared" ca="1" si="84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กระบี่!I501+ชุมพร!I501+ตรัง!I501+นครศรีธรรมราช!I501+นราธิวาส!I501+ปัตตานี!I501+พังงา!I501+พัทลุง!I501+ภูเก็ต!I501+ยะลา!I501+ระนอง!I501+สงขลา!I501+สตูล!I501+สุราษฎร์ธานี!I501</f>
        <v>0</v>
      </c>
      <c r="J501" s="166">
        <f ca="1">กระบี่!J501+ชุมพร!J501+ตรัง!J501+นครศรีธรรมราช!J501+นราธิวาส!J501+ปัตตานี!J501+พังงา!J501+พัทลุง!J501+ภูเก็ต!J501+ยะลา!J501+ระนอง!J501+สงขลา!J501+สตูล!J501+สุราษฎร์ธานี!J501</f>
        <v>163</v>
      </c>
      <c r="K501" s="167">
        <f t="shared" ca="1" si="84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กระบี่!I502+ชุมพร!I502+ตรัง!I502+นครศรีธรรมราช!I502+นราธิวาส!I502+ปัตตานี!I502+พังงา!I502+พัทลุง!I502+ภูเก็ต!I502+ยะลา!I502+ระนอง!I502+สงขลา!I502+สตูล!I502+สุราษฎร์ธานี!I502</f>
        <v>0</v>
      </c>
      <c r="J502" s="195">
        <f ca="1">กระบี่!J502+ชุมพร!J502+ตรัง!J502+นครศรีธรรมราช!J502+นราธิวาส!J502+ปัตตานี!J502+พังงา!J502+พัทลุง!J502+ภูเก็ต!J502+ยะลา!J502+ระนอง!J502+สงขลา!J502+สตูล!J502+สุราษฎร์ธานี!J502</f>
        <v>1235.55</v>
      </c>
      <c r="K502" s="167">
        <f t="shared" ca="1" si="84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กระบี่!I503+ชุมพร!I503+ตรัง!I503+นครศรีธรรมราช!I503+นราธิวาส!I503+ปัตตานี!I503+พังงา!I503+พัทลุง!I503+ภูเก็ต!I503+ยะลา!I503+ระนอง!I503+สงขลา!I503+สตูล!I503+สุราษฎร์ธานี!I503</f>
        <v>0</v>
      </c>
      <c r="J503" s="204">
        <f ca="1">กระบี่!J503+ชุมพร!J503+ตรัง!J503+นครศรีธรรมราช!J503+นราธิวาส!J503+ปัตตานี!J503+พังงา!J503+พัทลุง!J503+ภูเก็ต!J503+ยะลา!J503+ระนอง!J503+สงขลา!J503+สตูล!J503+สุราษฎร์ธานี!J503</f>
        <v>136</v>
      </c>
      <c r="K503" s="167">
        <f t="shared" ca="1" si="84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กระบี่!I504+ชุมพร!I504+ตรัง!I504+นครศรีธรรมราช!I504+นราธิวาส!I504+ปัตตานี!I504+พังงา!I504+พัทลุง!I504+ภูเก็ต!I504+ยะลา!I504+ระนอง!I504+สงขลา!I504+สตูล!I504+สุราษฎร์ธานี!I504</f>
        <v>0</v>
      </c>
      <c r="J504" s="195">
        <f ca="1">กระบี่!J504+ชุมพร!J504+ตรัง!J504+นครศรีธรรมราช!J504+นราธิวาส!J504+ปัตตานี!J504+พังงา!J504+พัทลุง!J504+ภูเก็ต!J504+ยะลา!J504+ระนอง!J504+สงขลา!J504+สตูล!J504+สุราษฎร์ธานี!J504</f>
        <v>188.67</v>
      </c>
      <c r="K504" s="167">
        <f t="shared" ca="1" si="84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กระบี่!I505+ชุมพร!I505+ตรัง!I505+นครศรีธรรมราช!I505+นราธิวาส!I505+ปัตตานี!I505+พังงา!I505+พัทลุง!I505+ภูเก็ต!I505+ยะลา!I505+ระนอง!I505+สงขลา!I505+สตูล!I505+สุราษฎร์ธานี!I505</f>
        <v>0</v>
      </c>
      <c r="J505" s="204">
        <f ca="1">กระบี่!J505+ชุมพร!J505+ตรัง!J505+นครศรีธรรมราช!J505+นราธิวาส!J505+ปัตตานี!J505+พังงา!J505+พัทลุง!J505+ภูเก็ต!J505+ยะลา!J505+ระนอง!J505+สงขลา!J505+สตูล!J505+สุราษฎร์ธานี!J505</f>
        <v>27</v>
      </c>
      <c r="K505" s="167">
        <f t="shared" ca="1" si="84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กระบี่!I506+ชุมพร!I506+ตรัง!I506+นครศรีธรรมราช!I506+นราธิวาส!I506+ปัตตานี!I506+พังงา!I506+พัทลุง!I506+ภูเก็ต!I506+ยะลา!I506+ระนอง!I506+สงขลา!I506+สตูล!I506+สุราษฎร์ธานี!I506</f>
        <v>0</v>
      </c>
      <c r="J506" s="195">
        <f ca="1">กระบี่!J506+ชุมพร!J506+ตรัง!J506+นครศรีธรรมราช!J506+นราธิวาส!J506+ปัตตานี!J506+พังงา!J506+พัทลุง!J506+ภูเก็ต!J506+ยะลา!J506+ระนอง!J506+สงขลา!J506+สตูล!J506+สุราษฎร์ธานี!J506</f>
        <v>0</v>
      </c>
      <c r="K506" s="167">
        <f t="shared" ca="1" si="84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กระบี่!I507+ชุมพร!I507+ตรัง!I507+นครศรีธรรมราช!I507+นราธิวาส!I507+ปัตตานี!I507+พังงา!I507+พัทลุง!I507+ภูเก็ต!I507+ยะลา!I507+ระนอง!I507+สงขลา!I507+สตูล!I507+สุราษฎร์ธานี!I507</f>
        <v>0</v>
      </c>
      <c r="J507" s="204">
        <f ca="1">กระบี่!J507+ชุมพร!J507+ตรัง!J507+นครศรีธรรมราช!J507+นราธิวาส!J507+ปัตตานี!J507+พังงา!J507+พัทลุง!J507+ภูเก็ต!J507+ยะลา!J507+ระนอง!J507+สงขลา!J507+สตูล!J507+สุราษฎร์ธานี!J507</f>
        <v>0</v>
      </c>
      <c r="K507" s="167">
        <f t="shared" ca="1" si="84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กระบี่!I508+ชุมพร!I508+ตรัง!I508+นครศรีธรรมราช!I508+นราธิวาส!I508+ปัตตานี!I508+พังงา!I508+พัทลุง!I508+ภูเก็ต!I508+ยะลา!I508+ระนอง!I508+สงขลา!I508+สตูล!I508+สุราษฎร์ธานี!I508</f>
        <v>0</v>
      </c>
      <c r="J508" s="166">
        <f ca="1">กระบี่!J508+ชุมพร!J508+ตรัง!J508+นครศรีธรรมราช!J508+นราธิวาส!J508+ปัตตานี!J508+พังงา!J508+พัทลุง!J508+ภูเก็ต!J508+ยะลา!J508+ระนอง!J508+สงขลา!J508+สตูล!J508+สุราษฎร์ธานี!J508</f>
        <v>44.89</v>
      </c>
      <c r="K508" s="167">
        <f t="shared" ca="1" si="84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กระบี่!I509+ชุมพร!I509+ตรัง!I509+นครศรีธรรมราช!I509+นราธิวาส!I509+ปัตตานี!I509+พังงา!I509+พัทลุง!I509+ภูเก็ต!I509+ยะลา!I509+ระนอง!I509+สงขลา!I509+สตูล!I509+สุราษฎร์ธานี!I509</f>
        <v>0</v>
      </c>
      <c r="J509" s="166">
        <f ca="1">กระบี่!J509+ชุมพร!J509+ตรัง!J509+นครศรีธรรมราช!J509+นราธิวาส!J509+ปัตตานี!J509+พังงา!J509+พัทลุง!J509+ภูเก็ต!J509+ยะลา!J509+ระนอง!J509+สงขลา!J509+สตูล!J509+สุราษฎร์ธานี!J509</f>
        <v>9</v>
      </c>
      <c r="K509" s="167">
        <f t="shared" ca="1" si="84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กระบี่!I510+ชุมพร!I510+ตรัง!I510+นครศรีธรรมราช!I510+นราธิวาส!I510+ปัตตานี!I510+พังงา!I510+พัทลุง!I510+ภูเก็ต!I510+ยะลา!I510+ระนอง!I510+สงขลา!I510+สตูล!I510+สุราษฎร์ธานี!I510</f>
        <v>0</v>
      </c>
      <c r="J510" s="204">
        <f ca="1">กระบี่!J510+ชุมพร!J510+ตรัง!J510+นครศรีธรรมราช!J510+นราธิวาส!J510+ปัตตานี!J510+พังงา!J510+พัทลุง!J510+ภูเก็ต!J510+ยะลา!J510+ระนอง!J510+สงขลา!J510+สตูล!J510+สุราษฎร์ธานี!J510</f>
        <v>30</v>
      </c>
      <c r="K510" s="167">
        <f t="shared" ca="1" si="84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กระบี่!I511+ชุมพร!I511+ตรัง!I511+นครศรีธรรมราช!I511+นราธิวาส!I511+ปัตตานี!I511+พังงา!I511+พัทลุง!I511+ภูเก็ต!I511+ยะลา!I511+ระนอง!I511+สงขลา!I511+สตูล!I511+สุราษฎร์ธานี!I511</f>
        <v>0</v>
      </c>
      <c r="J511" s="204">
        <f ca="1">กระบี่!J511+ชุมพร!J511+ตรัง!J511+นครศรีธรรมราช!J511+นราธิวาส!J511+ปัตตานี!J511+พังงา!J511+พัทลุง!J511+ภูเก็ต!J511+ยะลา!J511+ระนอง!J511+สงขลา!J511+สตูล!J511+สุราษฎร์ธานี!J511</f>
        <v>8</v>
      </c>
      <c r="K511" s="167">
        <f t="shared" ca="1" si="84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กระบี่!I512+ชุมพร!I512+ตรัง!I512+นครศรีธรรมราช!I512+นราธิวาส!I512+ปัตตานี!I512+พังงา!I512+พัทลุง!I512+ภูเก็ต!I512+ยะลา!I512+ระนอง!I512+สงขลา!I512+สตูล!I512+สุราษฎร์ธานี!I512</f>
        <v>0</v>
      </c>
      <c r="J512" s="204">
        <f ca="1">กระบี่!J512+ชุมพร!J512+ตรัง!J512+นครศรีธรรมราช!J512+นราธิวาส!J512+ปัตตานี!J512+พังงา!J512+พัทลุง!J512+ภูเก็ต!J512+ยะลา!J512+ระนอง!J512+สงขลา!J512+สตูล!J512+สุราษฎร์ธานี!J512</f>
        <v>14.89</v>
      </c>
      <c r="K512" s="167">
        <f t="shared" ca="1" si="84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กระบี่!I513+ชุมพร!I513+ตรัง!I513+นครศรีธรรมราช!I513+นราธิวาส!I513+ปัตตานี!I513+พังงา!I513+พัทลุง!I513+ภูเก็ต!I513+ยะลา!I513+ระนอง!I513+สงขลา!I513+สตูล!I513+สุราษฎร์ธานี!I513</f>
        <v>0</v>
      </c>
      <c r="J513" s="204">
        <f ca="1">กระบี่!J513+ชุมพร!J513+ตรัง!J513+นครศรีธรรมราช!J513+นราธิวาส!J513+ปัตตานี!J513+พังงา!J513+พัทลุง!J513+ภูเก็ต!J513+ยะลา!J513+ระนอง!J513+สงขลา!J513+สตูล!J513+สุราษฎร์ธานี!J513</f>
        <v>1</v>
      </c>
      <c r="K513" s="167">
        <f t="shared" ca="1" si="84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กระบี่!I514+ชุมพร!I514+ตรัง!I514+นครศรีธรรมราช!I514+นราธิวาส!I514+ปัตตานี!I514+พังงา!I514+พัทลุง!I514+ภูเก็ต!I514+ยะลา!I514+ระนอง!I514+สงขลา!I514+สตูล!I514+สุราษฎร์ธานี!I514</f>
        <v>0</v>
      </c>
      <c r="J514" s="204">
        <f ca="1">กระบี่!J514+ชุมพร!J514+ตรัง!J514+นครศรีธรรมราช!J514+นราธิวาส!J514+ปัตตานี!J514+พังงา!J514+พัทลุง!J514+ภูเก็ต!J514+ยะลา!J514+ระนอง!J514+สงขลา!J514+สตูล!J514+สุราษฎร์ธานี!J514</f>
        <v>0</v>
      </c>
      <c r="K514" s="167">
        <f t="shared" ca="1" si="84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กระบี่!I515+ชุมพร!I515+ตรัง!I515+นครศรีธรรมราช!I515+นราธิวาส!I515+ปัตตานี!I515+พังงา!I515+พัทลุง!I515+ภูเก็ต!I515+ยะลา!I515+ระนอง!I515+สงขลา!I515+สตูล!I515+สุราษฎร์ธานี!I515</f>
        <v>0</v>
      </c>
      <c r="J515" s="204">
        <f ca="1">กระบี่!J515+ชุมพร!J515+ตรัง!J515+นครศรีธรรมราช!J515+นราธิวาส!J515+ปัตตานี!J515+พังงา!J515+พัทลุง!J515+ภูเก็ต!J515+ยะลา!J515+ระนอง!J515+สงขลา!J515+สตูล!J515+สุราษฎร์ธานี!J515</f>
        <v>0</v>
      </c>
      <c r="K515" s="167">
        <f t="shared" ca="1" si="84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กระบี่!I516+ชุมพร!I516+ตรัง!I516+นครศรีธรรมราช!I516+นราธิวาส!I516+ปัตตานี!I516+พังงา!I516+พัทลุง!I516+ภูเก็ต!I516+ยะลา!I516+ระนอง!I516+สงขลา!I516+สตูล!I516+สุราษฎร์ธานี!I516</f>
        <v>0</v>
      </c>
      <c r="J516" s="273">
        <f ca="1">กระบี่!J516+ชุมพร!J516+ตรัง!J516+นครศรีธรรมราช!J516+นราธิวาส!J516+ปัตตานี!J516+พังงา!J516+พัทลุง!J516+ภูเก็ต!J516+ยะลา!J516+ระนอง!J516+สงขลา!J516+สตูล!J516+สุราษฎร์ธานี!J516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กระบี่!I517+ชุมพร!I517+ตรัง!I517+นครศรีธรรมราช!I517+นราธิวาส!I517+ปัตตานี!I517+พังงา!I517+พัทลุง!I517+ภูเก็ต!I517+ยะลา!I517+ระนอง!I517+สงขลา!I517+สตูล!I517+สุราษฎร์ธานี!I517</f>
        <v>0</v>
      </c>
      <c r="J517" s="290">
        <f ca="1">กระบี่!J517+ชุมพร!J517+ตรัง!J517+นครศรีธรรมราช!J517+นราธิวาส!J517+ปัตตานี!J517+พังงา!J517+พัทลุง!J517+ภูเก็ต!J517+ยะลา!J517+ระนอง!J517+สงขลา!J517+สตูล!J517+สุราษฎร์ธานี!J517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กระบี่!I518+ชุมพร!I518+ตรัง!I518+นครศรีธรรมราช!I518+นราธิวาส!I518+ปัตตานี!I518+พังงา!I518+พัทลุง!I518+ภูเก็ต!I518+ยะลา!I518+ระนอง!I518+สงขลา!I518+สตูล!I518+สุราษฎร์ธานี!I518</f>
        <v>0</v>
      </c>
      <c r="J518" s="290">
        <f ca="1">กระบี่!J518+ชุมพร!J518+ตรัง!J518+นครศรีธรรมราช!J518+นราธิวาส!J518+ปัตตานี!J518+พังงา!J518+พัทลุง!J518+ภูเก็ต!J518+ยะลา!J518+ระนอง!J518+สงขลา!J518+สตูล!J518+สุราษฎร์ธานี!J518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กระบี่!I519+ชุมพร!I519+ตรัง!I519+นครศรีธรรมราช!I519+นราธิวาส!I519+ปัตตานี!I519+พังงา!I519+พัทลุง!I519+ภูเก็ต!I519+ยะลา!I519+ระนอง!I519+สงขลา!I519+สตูล!I519+สุราษฎร์ธานี!I519</f>
        <v>0</v>
      </c>
      <c r="J519" s="194">
        <f ca="1">กระบี่!J519+ชุมพร!J519+ตรัง!J519+นครศรีธรรมราช!J519+นราธิวาส!J519+ปัตตานี!J519+พังงา!J519+พัทลุง!J519+ภูเก็ต!J519+ยะลา!J519+ระนอง!J519+สงขลา!J519+สตูล!J519+สุราษฎร์ธานี!J519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กระบี่!I520+ชุมพร!I520+ตรัง!I520+นครศรีธรรมราช!I520+นราธิวาส!I520+ปัตตานี!I520+พังงา!I520+พัทลุง!I520+ภูเก็ต!I520+ยะลา!I520+ระนอง!I520+สงขลา!I520+สตูล!I520+สุราษฎร์ธานี!I520</f>
        <v>0</v>
      </c>
      <c r="J520" s="194">
        <f ca="1">กระบี่!J520+ชุมพร!J520+ตรัง!J520+นครศรีธรรมราช!J520+นราธิวาส!J520+ปัตตานี!J520+พังงา!J520+พัทลุง!J520+ภูเก็ต!J520+ยะลา!J520+ระนอง!J520+สงขลา!J520+สตูล!J520+สุราษฎร์ธานี!J520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กระบี่!I521+ชุมพร!I521+ตรัง!I521+นครศรีธรรมราช!I521+นราธิวาส!I521+ปัตตานี!I521+พังงา!I521+พัทลุง!I521+ภูเก็ต!I521+ยะลา!I521+ระนอง!I521+สงขลา!I521+สตูล!I521+สุราษฎร์ธานี!I521</f>
        <v>0</v>
      </c>
      <c r="J521" s="194">
        <f ca="1">กระบี่!J521+ชุมพร!J521+ตรัง!J521+นครศรีธรรมราช!J521+นราธิวาส!J521+ปัตตานี!J521+พังงา!J521+พัทลุง!J521+ภูเก็ต!J521+ยะลา!J521+ระนอง!J521+สงขลา!J521+สตูล!J521+สุราษฎร์ธานี!J521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กระบี่!I522+ชุมพร!I522+ตรัง!I522+นครศรีธรรมราช!I522+นราธิวาส!I522+ปัตตานี!I522+พังงา!I522+พัทลุง!I522+ภูเก็ต!I522+ยะลา!I522+ระนอง!I522+สงขลา!I522+สตูล!I522+สุราษฎร์ธานี!I522</f>
        <v>0</v>
      </c>
      <c r="J522" s="194">
        <f ca="1">กระบี่!J522+ชุมพร!J522+ตรัง!J522+นครศรีธรรมราช!J522+นราธิวาส!J522+ปัตตานี!J522+พังงา!J522+พัทลุง!J522+ภูเก็ต!J522+ยะลา!J522+ระนอง!J522+สงขลา!J522+สตูล!J522+สุราษฎร์ธานี!J522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กระบี่!I523+ชุมพร!I523+ตรัง!I523+นครศรีธรรมราช!I523+นราธิวาส!I523+ปัตตานี!I523+พังงา!I523+พัทลุง!I523+ภูเก็ต!I523+ยะลา!I523+ระนอง!I523+สงขลา!I523+สตูล!I523+สุราษฎร์ธานี!I523</f>
        <v>0</v>
      </c>
      <c r="J523" s="194">
        <f ca="1">กระบี่!J523+ชุมพร!J523+ตรัง!J523+นครศรีธรรมราช!J523+นราธิวาส!J523+ปัตตานี!J523+พังงา!J523+พัทลุง!J523+ภูเก็ต!J523+ยะลา!J523+ระนอง!J523+สงขลา!J523+สตูล!J523+สุราษฎร์ธานี!J523</f>
        <v>358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กระบี่!I524+ชุมพร!I524+ตรัง!I524+นครศรีธรรมราช!I524+นราธิวาส!I524+ปัตตานี!I524+พังงา!I524+พัทลุง!I524+ภูเก็ต!I524+ยะลา!I524+ระนอง!I524+สงขลา!I524+สตูล!I524+สุราษฎร์ธานี!I524</f>
        <v>0</v>
      </c>
      <c r="J524" s="194">
        <f ca="1">กระบี่!J524+ชุมพร!J524+ตรัง!J524+นครศรีธรรมราช!J524+นราธิวาส!J524+ปัตตานี!J524+พังงา!J524+พัทลุง!J524+ภูเก็ต!J524+ยะลา!J524+ระนอง!J524+สงขลา!J524+สตูล!J524+สุราษฎร์ธานี!J524</f>
        <v>39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กระบี่!I525+ชุมพร!I525+ตรัง!I525+นครศรีธรรมราช!I525+นราธิวาส!I525+ปัตตานี!I525+พังงา!I525+พัทลุง!I525+ภูเก็ต!I525+ยะลา!I525+ระนอง!I525+สงขลา!I525+สตูล!I525+สุราษฎร์ธานี!I525</f>
        <v>358</v>
      </c>
      <c r="J525" s="290">
        <f ca="1">กระบี่!J525+ชุมพร!J525+ตรัง!J525+นครศรีธรรมราช!J525+นราธิวาส!J525+ปัตตานี!J525+พังงา!J525+พัทลุง!J525+ภูเก็ต!J525+ยะลา!J525+ระนอง!J525+สงขลา!J525+สตูล!J525+สุราษฎร์ธานี!J525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กระบี่!I526+ชุมพร!I526+ตรัง!I526+นครศรีธรรมราช!I526+นราธิวาส!I526+ปัตตานี!I526+พังงา!I526+พัทลุง!I526+ภูเก็ต!I526+ยะลา!I526+ระนอง!I526+สงขลา!I526+สตูล!I526+สุราษฎร์ธานี!I526</f>
        <v>39</v>
      </c>
      <c r="J526" s="290">
        <f ca="1">กระบี่!J526+ชุมพร!J526+ตรัง!J526+นครศรีธรรมราช!J526+นราธิวาส!J526+ปัตตานี!J526+พังงา!J526+พัทลุง!J526+ภูเก็ต!J526+ยะลา!J526+ระนอง!J526+สงขลา!J526+สตูล!J526+สุราษฎร์ธานี!J526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กระบี่!I527+ชุมพร!I527+ตรัง!I527+นครศรีธรรมราช!I527+นราธิวาส!I527+ปัตตานี!I527+พังงา!I527+พัทลุง!I527+ภูเก็ต!I527+ยะลา!I527+ระนอง!I527+สงขลา!I527+สตูล!I527+สุราษฎร์ธานี!I527</f>
        <v>0</v>
      </c>
      <c r="J527" s="204">
        <f ca="1">กระบี่!J527+ชุมพร!J527+ตรัง!J527+นครศรีธรรมราช!J527+นราธิวาส!J527+ปัตตานี!J527+พังงา!J527+พัทลุง!J527+ภูเก็ต!J527+ยะลา!J527+ระนอง!J527+สงขลา!J527+สตูล!J527+สุราษฎร์ธานี!J527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กระบี่!I528+ชุมพร!I528+ตรัง!I528+นครศรีธรรมราช!I528+นราธิวาส!I528+ปัตตานี!I528+พังงา!I528+พัทลุง!I528+ภูเก็ต!I528+ยะลา!I528+ระนอง!I528+สงขลา!I528+สตูล!I528+สุราษฎร์ธานี!I528</f>
        <v>0</v>
      </c>
      <c r="J528" s="204">
        <f ca="1">กระบี่!J528+ชุมพร!J528+ตรัง!J528+นครศรีธรรมราช!J528+นราธิวาส!J528+ปัตตานี!J528+พังงา!J528+พัทลุง!J528+ภูเก็ต!J528+ยะลา!J528+ระนอง!J528+สงขลา!J528+สตูล!J528+สุราษฎร์ธานี!J528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กระบี่!I529+ชุมพร!I529+ตรัง!I529+นครศรีธรรมราช!I529+นราธิวาส!I529+ปัตตานี!I529+พังงา!I529+พัทลุง!I529+ภูเก็ต!I529+ยะลา!I529+ระนอง!I529+สงขลา!I529+สตูล!I529+สุราษฎร์ธานี!I529</f>
        <v>0</v>
      </c>
      <c r="J529" s="204">
        <f ca="1">กระบี่!J529+ชุมพร!J529+ตรัง!J529+นครศรีธรรมราช!J529+นราธิวาส!J529+ปัตตานี!J529+พังงา!J529+พัทลุง!J529+ภูเก็ต!J529+ยะลา!J529+ระนอง!J529+สงขลา!J529+สตูล!J529+สุราษฎร์ธานี!J529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กระบี่!I530+ชุมพร!I530+ตรัง!I530+นครศรีธรรมราช!I530+นราธิวาส!I530+ปัตตานี!I530+พังงา!I530+พัทลุง!I530+ภูเก็ต!I530+ยะลา!I530+ระนอง!I530+สงขลา!I530+สตูล!I530+สุราษฎร์ธานี!I530</f>
        <v>0</v>
      </c>
      <c r="J530" s="204">
        <f ca="1">กระบี่!J530+ชุมพร!J530+ตรัง!J530+นครศรีธรรมราช!J530+นราธิวาส!J530+ปัตตานี!J530+พังงา!J530+พัทลุง!J530+ภูเก็ต!J530+ยะลา!J530+ระนอง!J530+สงขลา!J530+สตูล!J530+สุราษฎร์ธานี!J530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กระบี่!I531+ชุมพร!I531+ตรัง!I531+นครศรีธรรมราช!I531+นราธิวาส!I531+ปัตตานี!I531+พังงา!I531+พัทลุง!I531+ภูเก็ต!I531+ยะลา!I531+ระนอง!I531+สงขลา!I531+สตูล!I531+สุราษฎร์ธานี!I531</f>
        <v>0</v>
      </c>
      <c r="J531" s="204">
        <f ca="1">กระบี่!J531+ชุมพร!J531+ตรัง!J531+นครศรีธรรมราช!J531+นราธิวาส!J531+ปัตตานี!J531+พังงา!J531+พัทลุง!J531+ภูเก็ต!J531+ยะลา!J531+ระนอง!J531+สงขลา!J531+สตูล!J531+สุราษฎร์ธานี!J531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กระบี่!I532+ชุมพร!I532+ตรัง!I532+นครศรีธรรมราช!I532+นราธิวาส!I532+ปัตตานี!I532+พังงา!I532+พัทลุง!I532+ภูเก็ต!I532+ยะลา!I532+ระนอง!I532+สงขลา!I532+สตูล!I532+สุราษฎร์ธานี!I532</f>
        <v>0</v>
      </c>
      <c r="J532" s="472">
        <f ca="1">กระบี่!J532+ชุมพร!J532+ตรัง!J532+นครศรีธรรมราช!J532+นราธิวาส!J532+ปัตตานี!J532+พังงา!J532+พัทลุง!J532+ภูเก็ต!J532+ยะลา!J532+ระนอง!J532+สงขลา!J532+สตูล!J532+สุราษฎร์ธานี!J532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กระบี่!I533+ชุมพร!I533+ตรัง!I533+นครศรีธรรมราช!I533+นราธิวาส!I533+ปัตตานี!I533+พังงา!I533+พัทลุง!I533+ภูเก็ต!I533+ยะลา!I533+ระนอง!I533+สงขลา!I533+สตูล!I533+สุราษฎร์ธานี!I533</f>
        <v>293</v>
      </c>
      <c r="J533" s="416">
        <f ca="1">กระบี่!J533+ชุมพร!J533+ตรัง!J533+นครศรีธรรมราช!J533+นราธิวาส!J533+ปัตตานี!J533+พังงา!J533+พัทลุง!J533+ภูเก็ต!J533+ยะลา!J533+ระนอง!J533+สงขลา!J533+สตูล!J533+สุราษฎร์ธานี!J533</f>
        <v>293</v>
      </c>
      <c r="K533" s="417">
        <f ca="1">IF(I533&gt;0,J533*100/I533,0)</f>
        <v>100</v>
      </c>
      <c r="L533" s="418">
        <f ca="1">กระบี่!L533+ชุมพร!L533+ตรัง!L533+นครศรีธรรมราช!L533+นราธิวาส!L533+ปัตตานี!L533+พังงา!L533+พัทลุง!L533+ภูเก็ต!L533+ยะลา!L533+ระนอง!L533+สงขลา!L533+สตูล!L533+สุราษฎร์ธานี!L533</f>
        <v>468020</v>
      </c>
      <c r="M533" s="418"/>
      <c r="N533" s="418">
        <f ca="1">กระบี่!N533+ชุมพร!N533+ตรัง!N533+นครศรีธรรมราช!N533+นราธิวาส!N533+ปัตตานี!N533+พังงา!N533+พัทลุง!N533+ภูเก็ต!N533+ยะลา!N533+ระนอง!N533+สงขลา!N533+สตูล!N533+สุราษฎร์ธานี!N533</f>
        <v>354143.68</v>
      </c>
      <c r="O533" s="418">
        <f t="shared" ref="O533:O537" ca="1" si="85">+IF(L533&gt;0,N533*100/L533,0)</f>
        <v>75.66849279945302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กระบี่!L534+ชุมพร!L534+ตรัง!L534+นครศรีธรรมราช!L534+นราธิวาส!L534+ปัตตานี!L534+พังงา!L534+พัทลุง!L534+ภูเก็ต!L534+ยะลา!L534+ระนอง!L534+สงขลา!L534+สตูล!L534+สุราษฎร์ธานี!L534</f>
        <v>0</v>
      </c>
      <c r="M534" s="168"/>
      <c r="N534" s="175">
        <f ca="1">กระบี่!N534+ชุมพร!N534+ตรัง!N534+นครศรีธรรมราช!N534+นราธิวาส!N534+ปัตตานี!N534+พังงา!N534+พัทลุง!N534+ภูเก็ต!N534+ยะลา!N534+ระนอง!N534+สงขลา!N534+สตูล!N534+สุราษฎร์ธานี!N534</f>
        <v>0</v>
      </c>
      <c r="O534" s="175">
        <f t="shared" ca="1" si="85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กระบี่!L535+ชุมพร!L535+ตรัง!L535+นครศรีธรรมราช!L535+นราธิวาส!L535+ปัตตานี!L535+พังงา!L535+พัทลุง!L535+ภูเก็ต!L535+ยะลา!L535+ระนอง!L535+สงขลา!L535+สตูล!L535+สุราษฎร์ธานี!L535</f>
        <v>468020</v>
      </c>
      <c r="M535" s="169"/>
      <c r="N535" s="175">
        <f ca="1">กระบี่!N535+ชุมพร!N535+ตรัง!N535+นครศรีธรรมราช!N535+นราธิวาส!N535+ปัตตานี!N535+พังงา!N535+พัทลุง!N535+ภูเก็ต!N535+ยะลา!N535+ระนอง!N535+สงขลา!N535+สตูล!N535+สุราษฎร์ธานี!N535</f>
        <v>354143.68</v>
      </c>
      <c r="O535" s="175">
        <f t="shared" ca="1" si="85"/>
        <v>75.66849279945302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กระบี่!L536+ชุมพร!L536+ตรัง!L536+นครศรีธรรมราช!L536+นราธิวาส!L536+ปัตตานี!L536+พังงา!L536+พัทลุง!L536+ภูเก็ต!L536+ยะลา!L536+ระนอง!L536+สงขลา!L536+สตูล!L536+สุราษฎร์ธานี!L536</f>
        <v>0</v>
      </c>
      <c r="M536" s="175"/>
      <c r="N536" s="175">
        <f ca="1">กระบี่!N536+ชุมพร!N536+ตรัง!N536+นครศรีธรรมราช!N536+นราธิวาส!N536+ปัตตานี!N536+พังงา!N536+พัทลุง!N536+ภูเก็ต!N536+ยะลา!N536+ระนอง!N536+สงขลา!N536+สตูล!N536+สุราษฎร์ธานี!N536</f>
        <v>0</v>
      </c>
      <c r="O536" s="175">
        <f t="shared" ca="1" si="85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กระบี่!L537+ชุมพร!L537+ตรัง!L537+นครศรีธรรมราช!L537+นราธิวาส!L537+ปัตตานี!L537+พังงา!L537+พัทลุง!L537+ภูเก็ต!L537+ยะลา!L537+ระนอง!L537+สงขลา!L537+สตูล!L537+สุราษฎร์ธานี!L537</f>
        <v>468020</v>
      </c>
      <c r="M537" s="175"/>
      <c r="N537" s="175">
        <f ca="1">กระบี่!N537+ชุมพร!N537+ตรัง!N537+นครศรีธรรมราช!N537+นราธิวาส!N537+ปัตตานี!N537+พังงา!N537+พัทลุง!N537+ภูเก็ต!N537+ยะลา!N537+ระนอง!N537+สงขลา!N537+สตูล!N537+สุราษฎร์ธานี!N537</f>
        <v>354143.68</v>
      </c>
      <c r="O537" s="175">
        <f t="shared" ca="1" si="85"/>
        <v>75.66849279945302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กระบี่!N538+ชุมพร!N538+ตรัง!N538+นครศรีธรรมราช!N538+นราธิวาส!N538+ปัตตานี!N538+พังงา!N538+พัทลุง!N538+ภูเก็ต!N538+ยะลา!N538+ระนอง!N538+สงขลา!N538+สตูล!N538+สุราษฎร์ธานี!N538</f>
        <v>244493.47999999998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กระบี่!N539+ชุมพร!N539+ตรัง!N539+นครศรีธรรมราช!N539+นราธิวาส!N539+ปัตตานี!N539+พังงา!N539+พัทลุง!N539+ภูเก็ต!N539+ยะลา!N539+ระนอง!N539+สงขลา!N539+สตูล!N539+สุราษฎร์ธานี!N539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กระบี่!N540+ชุมพร!N540+ตรัง!N540+นครศรีธรรมราช!N540+นราธิวาส!N540+ปัตตานี!N540+พังงา!N540+พัทลุง!N540+ภูเก็ต!N540+ยะลา!N540+ระนอง!N540+สงขลา!N540+สตูล!N540+สุราษฎร์ธานี!N540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กระบี่!N541+ชุมพร!N541+ตรัง!N541+นครศรีธรรมราช!N541+นราธิวาส!N541+ปัตตานี!N541+พังงา!N541+พัทลุง!N541+ภูเก็ต!N541+ยะลา!N541+ระนอง!N541+สงขลา!N541+สตูล!N541+สุราษฎร์ธานี!N541</f>
        <v>109650.2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กระบี่!J543+ชุมพร!J543+ตรัง!J543+นครศรีธรรมราช!J543+นราธิวาส!J543+ปัตตานี!J543+พังงา!J543+พัทลุง!J543+ภูเก็ต!J543+ยะลา!J543+ระนอง!J543+สงขลา!J543+สตูล!J543+สุราษฎร์ธานี!J543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กระบี่!J544+ชุมพร!J544+ตรัง!J544+นครศรีธรรมราช!J544+นราธิวาส!J544+ปัตตานี!J544+พังงา!J544+พัทลุง!J544+ภูเก็ต!J544+ยะลา!J544+ระนอง!J544+สงขลา!J544+สตูล!J544+สุราษฎร์ธานี!J544</f>
        <v>14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กระบี่!J545+ชุมพร!J545+ตรัง!J545+นครศรีธรรมราช!J545+นราธิวาส!J545+ปัตตานี!J545+พังงา!J545+พัทลุง!J545+ภูเก็ต!J545+ยะลา!J545+ระนอง!J545+สงขลา!J545+สตูล!J545+สุราษฎร์ธานี!J545</f>
        <v>14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กระบี่!J546+ชุมพร!J546+ตรัง!J546+นครศรีธรรมราช!J546+นราธิวาส!J546+ปัตตานี!J546+พังงา!J546+พัทลุง!J546+ภูเก็ต!J546+ยะลา!J546+ระนอง!J546+สงขลา!J546+สตูล!J546+สุราษฎร์ธานี!J546</f>
        <v>14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กระบี่!I547+ชุมพร!I547+ตรัง!I547+นครศรีธรรมราช!I547+นราธิวาส!I547+ปัตตานี!I547+พังงา!I547+พัทลุง!I547+ภูเก็ต!I547+ยะลา!I547+ระนอง!I547+สงขลา!I547+สตูล!I547+สุราษฎร์ธานี!I547</f>
        <v>293</v>
      </c>
      <c r="J547" s="195">
        <f ca="1">กระบี่!J547+ชุมพร!J547+ตรัง!J547+นครศรีธรรมราช!J547+นราธิวาส!J547+ปัตตานี!J547+พังงา!J547+พัทลุง!J547+ภูเก็ต!J547+ยะลา!J547+ระนอง!J547+สงขลา!J547+สตูล!J547+สุราษฎร์ธานี!J547</f>
        <v>293</v>
      </c>
      <c r="K547" s="167">
        <f t="shared" ref="K547:K548" ca="1" si="86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กระบี่!J548+ชุมพร!J548+ตรัง!J548+นครศรีธรรมราช!J548+นราธิวาส!J548+ปัตตานี!J548+พังงา!J548+พัทลุง!J548+ภูเก็ต!J548+ยะลา!J548+ระนอง!J548+สงขลา!J548+สตูล!J548+สุราษฎร์ธานี!J548</f>
        <v>0</v>
      </c>
      <c r="K548" s="167">
        <f t="shared" ca="1" si="86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กระบี่!J549+ชุมพร!J549+ตรัง!J549+นครศรีธรรมราช!J549+นราธิวาส!J549+ปัตตานี!J549+พังงา!J549+พัทลุง!J549+ภูเก็ต!J549+ยะลา!J549+ระนอง!J549+สงขลา!J549+สตูล!J549+สุราษฎร์ธานี!J549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กระบี่!J550+ชุมพร!J550+ตรัง!J550+นครศรีธรรมราช!J550+นราธิวาส!J550+ปัตตานี!J550+พังงา!J550+พัทลุง!J550+ภูเก็ต!J550+ยะลา!J550+ระนอง!J550+สงขลา!J550+สตูล!J550+สุราษฎร์ธานี!J550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กระบี่!I551+ชุมพร!I551+ตรัง!I551+นครศรีธรรมราช!I551+นราธิวาส!I551+ปัตตานี!I551+พังงา!I551+พัทลุง!I551+ภูเก็ต!I551+ยะลา!I551+ระนอง!I551+สงขลา!I551+สตูล!I551+สุราษฎร์ธานี!I551</f>
        <v>0</v>
      </c>
      <c r="J551" s="416">
        <f ca="1">กระบี่!J551+ชุมพร!J551+ตรัง!J551+นครศรีธรรมราช!J551+นราธิวาส!J551+ปัตตานี!J551+พังงา!J551+พัทลุง!J551+ภูเก็ต!J551+ยะลา!J551+ระนอง!J551+สงขลา!J551+สตูล!J551+สุราษฎร์ธานี!J551</f>
        <v>0</v>
      </c>
      <c r="K551" s="417">
        <f ca="1">IF(I551&gt;0,J551*100/I551,0)</f>
        <v>0</v>
      </c>
      <c r="L551" s="418">
        <f ca="1">กระบี่!L551+ชุมพร!L551+ตรัง!L551+นครศรีธรรมราช!L551+นราธิวาส!L551+ปัตตานี!L551+พังงา!L551+พัทลุง!L551+ภูเก็ต!L551+ยะลา!L551+ระนอง!L551+สงขลา!L551+สตูล!L551+สุราษฎร์ธานี!L551</f>
        <v>0</v>
      </c>
      <c r="M551" s="418"/>
      <c r="N551" s="418">
        <f ca="1">กระบี่!N551+ชุมพร!N551+ตรัง!N551+นครศรีธรรมราช!N551+นราธิวาส!N551+ปัตตานี!N551+พังงา!N551+พัทลุง!N551+ภูเก็ต!N551+ยะลา!N551+ระนอง!N551+สงขลา!N551+สตูล!N551+สุราษฎร์ธานี!N551</f>
        <v>0</v>
      </c>
      <c r="O551" s="418">
        <f t="shared" ref="O551:O555" ca="1" si="87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กระบี่!L552+ชุมพร!L552+ตรัง!L552+นครศรีธรรมราช!L552+นราธิวาส!L552+ปัตตานี!L552+พังงา!L552+พัทลุง!L552+ภูเก็ต!L552+ยะลา!L552+ระนอง!L552+สงขลา!L552+สตูล!L552+สุราษฎร์ธานี!L552</f>
        <v>0</v>
      </c>
      <c r="M552" s="168"/>
      <c r="N552" s="175">
        <f ca="1">กระบี่!N552+ชุมพร!N552+ตรัง!N552+นครศรีธรรมราช!N552+นราธิวาส!N552+ปัตตานี!N552+พังงา!N552+พัทลุง!N552+ภูเก็ต!N552+ยะลา!N552+ระนอง!N552+สงขลา!N552+สตูล!N552+สุราษฎร์ธานี!N552</f>
        <v>0</v>
      </c>
      <c r="O552" s="175">
        <f t="shared" ca="1" si="87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กระบี่!L553+ชุมพร!L553+ตรัง!L553+นครศรีธรรมราช!L553+นราธิวาส!L553+ปัตตานี!L553+พังงา!L553+พัทลุง!L553+ภูเก็ต!L553+ยะลา!L553+ระนอง!L553+สงขลา!L553+สตูล!L553+สุราษฎร์ธานี!L553</f>
        <v>0</v>
      </c>
      <c r="M553" s="169"/>
      <c r="N553" s="175">
        <f ca="1">กระบี่!N553+ชุมพร!N553+ตรัง!N553+นครศรีธรรมราช!N553+นราธิวาส!N553+ปัตตานี!N553+พังงา!N553+พัทลุง!N553+ภูเก็ต!N553+ยะลา!N553+ระนอง!N553+สงขลา!N553+สตูล!N553+สุราษฎร์ธานี!N553</f>
        <v>0</v>
      </c>
      <c r="O553" s="175">
        <f t="shared" ca="1" si="87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กระบี่!L554+ชุมพร!L554+ตรัง!L554+นครศรีธรรมราช!L554+นราธิวาส!L554+ปัตตานี!L554+พังงา!L554+พัทลุง!L554+ภูเก็ต!L554+ยะลา!L554+ระนอง!L554+สงขลา!L554+สตูล!L554+สุราษฎร์ธานี!L554</f>
        <v>0</v>
      </c>
      <c r="M554" s="175"/>
      <c r="N554" s="175">
        <f ca="1">กระบี่!N554+ชุมพร!N554+ตรัง!N554+นครศรีธรรมราช!N554+นราธิวาส!N554+ปัตตานี!N554+พังงา!N554+พัทลุง!N554+ภูเก็ต!N554+ยะลา!N554+ระนอง!N554+สงขลา!N554+สตูล!N554+สุราษฎร์ธานี!N554</f>
        <v>0</v>
      </c>
      <c r="O554" s="175">
        <f t="shared" ca="1" si="87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กระบี่!L555+ชุมพร!L555+ตรัง!L555+นครศรีธรรมราช!L555+นราธิวาส!L555+ปัตตานี!L555+พังงา!L555+พัทลุง!L555+ภูเก็ต!L555+ยะลา!L555+ระนอง!L555+สงขลา!L555+สตูล!L555+สุราษฎร์ธานี!L555</f>
        <v>0</v>
      </c>
      <c r="M555" s="175"/>
      <c r="N555" s="175">
        <f ca="1">กระบี่!N555+ชุมพร!N555+ตรัง!N555+นครศรีธรรมราช!N555+นราธิวาส!N555+ปัตตานี!N555+พังงา!N555+พัทลุง!N555+ภูเก็ต!N555+ยะลา!N555+ระนอง!N555+สงขลา!N555+สตูล!N555+สุราษฎร์ธานี!N555</f>
        <v>0</v>
      </c>
      <c r="O555" s="175">
        <f t="shared" ca="1" si="87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กระบี่!N556+ชุมพร!N556+ตรัง!N556+นครศรีธรรมราช!N556+นราธิวาส!N556+ปัตตานี!N556+พังงา!N556+พัทลุง!N556+ภูเก็ต!N556+ยะลา!N556+ระนอง!N556+สงขลา!N556+สตูล!N556+สุราษฎร์ธานี!N556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กระบี่!N557+ชุมพร!N557+ตรัง!N557+นครศรีธรรมราช!N557+นราธิวาส!N557+ปัตตานี!N557+พังงา!N557+พัทลุง!N557+ภูเก็ต!N557+ยะลา!N557+ระนอง!N557+สงขลา!N557+สตูล!N557+สุราษฎร์ธานี!N557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กระบี่!N558+ชุมพร!N558+ตรัง!N558+นครศรีธรรมราช!N558+นราธิวาส!N558+ปัตตานี!N558+พังงา!N558+พัทลุง!N558+ภูเก็ต!N558+ยะลา!N558+ระนอง!N558+สงขลา!N558+สตูล!N558+สุราษฎร์ธานี!N558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กระบี่!N559+ชุมพร!N559+ตรัง!N559+นครศรีธรรมราช!N559+นราธิวาส!N559+ปัตตานี!N559+พังงา!N559+พัทลุง!N559+ภูเก็ต!N559+ยะลา!N559+ระนอง!N559+สงขลา!N559+สตูล!N559+สุราษฎร์ธานี!N559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กระบี่!I560+ชุมพร!I560+ตรัง!I560+นครศรีธรรมราช!I560+นราธิวาส!I560+ปัตตานี!I560+พังงา!I560+พัทลุง!I560+ภูเก็ต!I560+ยะลา!I560+ระนอง!I560+สงขลา!I560+สตูล!I560+สุราษฎร์ธานี!I560</f>
        <v>0</v>
      </c>
      <c r="J560" s="166">
        <f ca="1">กระบี่!J560+ชุมพร!J560+ตรัง!J560+นครศรีธรรมราช!J560+นราธิวาส!J560+ปัตตานี!J560+พังงา!J560+พัทลุง!J560+ภูเก็ต!J560+ยะลา!J560+ระนอง!J560+สงขลา!J560+สตูล!J560+สุราษฎร์ธานี!J560</f>
        <v>0</v>
      </c>
      <c r="K560" s="230">
        <f t="shared" ref="K560:K561" ca="1" si="88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กระบี่!I561+ชุมพร!I561+ตรัง!I561+นครศรีธรรมราช!I561+นราธิวาส!I561+ปัตตานี!I561+พังงา!I561+พัทลุง!I561+ภูเก็ต!I561+ยะลา!I561+ระนอง!I561+สงขลา!I561+สตูล!I561+สุราษฎร์ธานี!I561</f>
        <v>0</v>
      </c>
      <c r="J561" s="210">
        <f ca="1">กระบี่!J561+ชุมพร!J561+ตรัง!J561+นครศรีธรรมราช!J561+นราธิวาส!J561+ปัตตานี!J561+พังงา!J561+พัทลุง!J561+ภูเก็ต!J561+ยะลา!J561+ระนอง!J561+สงขลา!J561+สตูล!J561+สุราษฎร์ธานี!J561</f>
        <v>0</v>
      </c>
      <c r="K561" s="230">
        <f t="shared" ca="1" si="88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กระบี่!I564+ชุมพร!I564+ตรัง!I564+นครศรีธรรมราช!I564+นราธิวาส!I564+ปัตตานี!I564+พังงา!I564+พัทลุง!I564+ภูเก็ต!I564+ยะลา!I564+ระนอง!I564+สงขลา!I564+สตูล!I564+สุราษฎร์ธานี!I564</f>
        <v>12200</v>
      </c>
      <c r="J564" s="377">
        <f ca="1">กระบี่!J564+ชุมพร!J564+ตรัง!J564+นครศรีธรรมราช!J564+นราธิวาส!J564+ปัตตานี!J564+พังงา!J564+พัทลุง!J564+ภูเก็ต!J564+ยะลา!J564+ระนอง!J564+สงขลา!J564+สตูล!J564+สุราษฎร์ธานี!J564</f>
        <v>16099</v>
      </c>
      <c r="K564" s="378">
        <f ca="1">IF(I564&gt;0,J564*100/I564,0)</f>
        <v>131.95901639344262</v>
      </c>
      <c r="L564" s="379">
        <f ca="1">กระบี่!L564+ชุมพร!L564+ตรัง!L564+นครศรีธรรมราช!L564+นราธิวาส!L564+ปัตตานี!L564+พังงา!L564+พัทลุง!L564+ภูเก็ต!L564+ยะลา!L564+ระนอง!L564+สงขลา!L564+สตูล!L564+สุราษฎร์ธานี!L564</f>
        <v>1798960</v>
      </c>
      <c r="M564" s="379"/>
      <c r="N564" s="379">
        <f ca="1">กระบี่!N564+ชุมพร!N564+ตรัง!N564+นครศรีธรรมราช!N564+นราธิวาส!N564+ปัตตานี!N564+พังงา!N564+พัทลุง!N564+ภูเก็ต!N564+ยะลา!N564+ระนอง!N564+สงขลา!N564+สตูล!N564+สุราษฎร์ธานี!N564</f>
        <v>778592.06</v>
      </c>
      <c r="O564" s="379">
        <f t="shared" ref="O564:O568" ca="1" si="89">+IF(L564&gt;0,N564*100/L564,0)</f>
        <v>43.280120736425488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กระบี่!L565+ชุมพร!L565+ตรัง!L565+นครศรีธรรมราช!L565+นราธิวาส!L565+ปัตตานี!L565+พังงา!L565+พัทลุง!L565+ภูเก็ต!L565+ยะลา!L565+ระนอง!L565+สงขลา!L565+สตูล!L565+สุราษฎร์ธานี!L565</f>
        <v>0</v>
      </c>
      <c r="M565" s="168"/>
      <c r="N565" s="175">
        <f ca="1">กระบี่!N565+ชุมพร!N565+ตรัง!N565+นครศรีธรรมราช!N565+นราธิวาส!N565+ปัตตานี!N565+พังงา!N565+พัทลุง!N565+ภูเก็ต!N565+ยะลา!N565+ระนอง!N565+สงขลา!N565+สตูล!N565+สุราษฎร์ธานี!N565</f>
        <v>0</v>
      </c>
      <c r="O565" s="175">
        <f t="shared" ca="1" si="89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กระบี่!L566+ชุมพร!L566+ตรัง!L566+นครศรีธรรมราช!L566+นราธิวาส!L566+ปัตตานี!L566+พังงา!L566+พัทลุง!L566+ภูเก็ต!L566+ยะลา!L566+ระนอง!L566+สงขลา!L566+สตูล!L566+สุราษฎร์ธานี!L566</f>
        <v>1798960</v>
      </c>
      <c r="M566" s="169"/>
      <c r="N566" s="175">
        <f ca="1">กระบี่!N566+ชุมพร!N566+ตรัง!N566+นครศรีธรรมราช!N566+นราธิวาส!N566+ปัตตานี!N566+พังงา!N566+พัทลุง!N566+ภูเก็ต!N566+ยะลา!N566+ระนอง!N566+สงขลา!N566+สตูล!N566+สุราษฎร์ธานี!N566</f>
        <v>778592.06</v>
      </c>
      <c r="O566" s="175">
        <f t="shared" ca="1" si="89"/>
        <v>43.280120736425488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กระบี่!L567+ชุมพร!L567+ตรัง!L567+นครศรีธรรมราช!L567+นราธิวาส!L567+ปัตตานี!L567+พังงา!L567+พัทลุง!L567+ภูเก็ต!L567+ยะลา!L567+ระนอง!L567+สงขลา!L567+สตูล!L567+สุราษฎร์ธานี!L567</f>
        <v>0</v>
      </c>
      <c r="M567" s="175"/>
      <c r="N567" s="175">
        <f ca="1">กระบี่!N567+ชุมพร!N567+ตรัง!N567+นครศรีธรรมราช!N567+นราธิวาส!N567+ปัตตานี!N567+พังงา!N567+พัทลุง!N567+ภูเก็ต!N567+ยะลา!N567+ระนอง!N567+สงขลา!N567+สตูล!N567+สุราษฎร์ธานี!N567</f>
        <v>0</v>
      </c>
      <c r="O567" s="175">
        <f t="shared" ca="1" si="89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กระบี่!L568+ชุมพร!L568+ตรัง!L568+นครศรีธรรมราช!L568+นราธิวาส!L568+ปัตตานี!L568+พังงา!L568+พัทลุง!L568+ภูเก็ต!L568+ยะลา!L568+ระนอง!L568+สงขลา!L568+สตูล!L568+สุราษฎร์ธานี!L568</f>
        <v>1798960</v>
      </c>
      <c r="M568" s="175"/>
      <c r="N568" s="175">
        <f ca="1">กระบี่!N568+ชุมพร!N568+ตรัง!N568+นครศรีธรรมราช!N568+นราธิวาส!N568+ปัตตานี!N568+พังงา!N568+พัทลุง!N568+ภูเก็ต!N568+ยะลา!N568+ระนอง!N568+สงขลา!N568+สตูล!N568+สุราษฎร์ธานี!N568</f>
        <v>778592.06</v>
      </c>
      <c r="O568" s="175">
        <f t="shared" ca="1" si="89"/>
        <v>43.280120736425488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กระบี่!N569+ชุมพร!N569+ตรัง!N569+นครศรีธรรมราช!N569+นราธิวาส!N569+ปัตตานี!N569+พังงา!N569+พัทลุง!N569+ภูเก็ต!N569+ยะลา!N569+ระนอง!N569+สงขลา!N569+สตูล!N569+สุราษฎร์ธานี!N569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กระบี่!N570+ชุมพร!N570+ตรัง!N570+นครศรีธรรมราช!N570+นราธิวาส!N570+ปัตตานี!N570+พังงา!N570+พัทลุง!N570+ภูเก็ต!N570+ยะลา!N570+ระนอง!N570+สงขลา!N570+สตูล!N570+สุราษฎร์ธานี!N570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กระบี่!N571+ชุมพร!N571+ตรัง!N571+นครศรีธรรมราช!N571+นราธิวาส!N571+ปัตตานี!N571+พังงา!N571+พัทลุง!N571+ภูเก็ต!N571+ยะลา!N571+ระนอง!N571+สงขลา!N571+สตูล!N571+สุราษฎร์ธานี!N571</f>
        <v>618703.46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กระบี่!N572+ชุมพร!N572+ตรัง!N572+นครศรีธรรมราช!N572+นราธิวาส!N572+ปัตตานี!N572+พังงา!N572+พัทลุง!N572+ภูเก็ต!N572+ยะลา!N572+ระนอง!N572+สงขลา!N572+สตูล!N572+สุราษฎร์ธานี!N572</f>
        <v>159888.6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กระบี่!I573+ชุมพร!I573+ตรัง!I573+นครศรีธรรมราช!I573+นราธิวาส!I573+ปัตตานี!I573+พังงา!I573+พัทลุง!I573+ภูเก็ต!I573+ยะลา!I573+ระนอง!I573+สงขลา!I573+สตูล!I573+สุราษฎร์ธานี!I573</f>
        <v>12200</v>
      </c>
      <c r="J573" s="426">
        <f ca="1">กระบี่!J573+ชุมพร!J573+ตรัง!J573+นครศรีธรรมราช!J573+นราธิวาส!J573+ปัตตานี!J573+พังงา!J573+พัทลุง!J573+ภูเก็ต!J573+ยะลา!J573+ระนอง!J573+สงขลา!J573+สตูล!J573+สุราษฎร์ธานี!J573</f>
        <v>16099</v>
      </c>
      <c r="K573" s="208">
        <f ca="1">IF(I573&gt;0,J573*100/I573,0)</f>
        <v>131.95901639344262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กระบี่!I575+ชุมพร!I575+ตรัง!I575+นครศรีธรรมราช!I575+นราธิวาส!I575+ปัตตานี!I575+พังงา!I575+พัทลุง!I575+ภูเก็ต!I575+ยะลา!I575+ระนอง!I575+สงขลา!I575+สตูล!I575+สุราษฎร์ธานี!I575</f>
        <v>0</v>
      </c>
      <c r="J575" s="204">
        <f ca="1">กระบี่!J575+ชุมพร!J575+ตรัง!J575+นครศรีธรรมราช!J575+นราธิวาส!J575+ปัตตานี!J575+พังงา!J575+พัทลุง!J575+ภูเก็ต!J575+ยะลา!J575+ระนอง!J575+สงขลา!J575+สตูล!J575+สุราษฎร์ธานี!J575</f>
        <v>48</v>
      </c>
      <c r="K575" s="167">
        <f t="shared" ref="K575:K579" ca="1" si="90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กระบี่!I576+ชุมพร!I576+ตรัง!I576+นครศรีธรรมราช!I576+นราธิวาส!I576+ปัตตานี!I576+พังงา!I576+พัทลุง!I576+ภูเก็ต!I576+ยะลา!I576+ระนอง!I576+สงขลา!I576+สตูล!I576+สุราษฎร์ธานี!I576</f>
        <v>0</v>
      </c>
      <c r="J576" s="204">
        <f ca="1">กระบี่!J576+ชุมพร!J576+ตรัง!J576+นครศรีธรรมราช!J576+นราธิวาส!J576+ปัตตานี!J576+พังงา!J576+พัทลุง!J576+ภูเก็ต!J576+ยะลา!J576+ระนอง!J576+สงขลา!J576+สตูล!J576+สุราษฎร์ธานี!J576</f>
        <v>1480</v>
      </c>
      <c r="K576" s="167">
        <f t="shared" ca="1" si="90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กระบี่!I577+ชุมพร!I577+ตรัง!I577+นครศรีธรรมราช!I577+นราธิวาส!I577+ปัตตานี!I577+พังงา!I577+พัทลุง!I577+ภูเก็ต!I577+ยะลา!I577+ระนอง!I577+สงขลา!I577+สตูล!I577+สุราษฎร์ธานี!I577</f>
        <v>0</v>
      </c>
      <c r="J577" s="195">
        <f ca="1">กระบี่!J577+ชุมพร!J577+ตรัง!J577+นครศรีธรรมราช!J577+นราธิวาส!J577+ปัตตานี!J577+พังงา!J577+พัทลุง!J577+ภูเก็ต!J577+ยะลา!J577+ระนอง!J577+สงขลา!J577+สตูล!J577+สุราษฎร์ธานี!J577</f>
        <v>14612</v>
      </c>
      <c r="K577" s="167">
        <f t="shared" ca="1" si="90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กระบี่!I578+ชุมพร!I578+ตรัง!I578+นครศรีธรรมราช!I578+นราธิวาส!I578+ปัตตานี!I578+พังงา!I578+พัทลุง!I578+ภูเก็ต!I578+ยะลา!I578+ระนอง!I578+สงขลา!I578+สตูล!I578+สุราษฎร์ธานี!I578</f>
        <v>0</v>
      </c>
      <c r="J578" s="204">
        <f ca="1">กระบี่!J578+ชุมพร!J578+ตรัง!J578+นครศรีธรรมราช!J578+นราธิวาส!J578+ปัตตานี!J578+พังงา!J578+พัทลุง!J578+ภูเก็ต!J578+ยะลา!J578+ระนอง!J578+สงขลา!J578+สตูล!J578+สุราษฎร์ธานี!J578</f>
        <v>2</v>
      </c>
      <c r="K578" s="167">
        <f t="shared" ca="1" si="90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กระบี่!I579+ชุมพร!I579+ตรัง!I579+นครศรีธรรมราช!I579+นราธิวาส!I579+ปัตตานี!I579+พังงา!I579+พัทลุง!I579+ภูเก็ต!I579+ยะลา!I579+ระนอง!I579+สงขลา!I579+สตูล!I579+สุราษฎร์ธานี!I579</f>
        <v>0</v>
      </c>
      <c r="J579" s="204">
        <f ca="1">กระบี่!J579+ชุมพร!J579+ตรัง!J579+นครศรีธรรมราช!J579+นราธิวาส!J579+ปัตตานี!J579+พังงา!J579+พัทลุง!J579+ภูเก็ต!J579+ยะลา!J579+ระนอง!J579+สงขลา!J579+สตูล!J579+สุราษฎร์ธานี!J579</f>
        <v>5</v>
      </c>
      <c r="K579" s="167">
        <f t="shared" ca="1" si="90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กระบี่!I580+ชุมพร!I580+ตรัง!I580+นครศรีธรรมราช!I580+นราธิวาส!I580+ปัตตานี!I580+พังงา!I580+พัทลุง!I580+ภูเก็ต!I580+ยะลา!I580+ระนอง!I580+สงขลา!I580+สตูล!I580+สุราษฎร์ธานี!I580</f>
        <v>292</v>
      </c>
      <c r="J580" s="377">
        <f ca="1">กระบี่!J580+ชุมพร!J580+ตรัง!J580+นครศรีธรรมราช!J580+นราธิวาส!J580+ปัตตานี!J580+พังงา!J580+พัทลุง!J580+ภูเก็ต!J580+ยะลา!J580+ระนอง!J580+สงขลา!J580+สตูล!J580+สุราษฎร์ธานี!J580</f>
        <v>2</v>
      </c>
      <c r="K580" s="378">
        <f ca="1">IF(I580&gt;0,J580*100/I580,0)</f>
        <v>0.68493150684931503</v>
      </c>
      <c r="L580" s="379">
        <f ca="1">กระบี่!L580+ชุมพร!L580+ตรัง!L580+นครศรีธรรมราช!L580+นราธิวาส!L580+ปัตตานี!L580+พังงา!L580+พัทลุง!L580+ภูเก็ต!L580+ยะลา!L580+ระนอง!L580+สงขลา!L580+สตูล!L580+สุราษฎร์ธานี!L580</f>
        <v>667592</v>
      </c>
      <c r="M580" s="379"/>
      <c r="N580" s="379">
        <f ca="1">กระบี่!N580+ชุมพร!N580+ตรัง!N580+นครศรีธรรมราช!N580+นราธิวาส!N580+ปัตตานี!N580+พังงา!N580+พัทลุง!N580+ภูเก็ต!N580+ยะลา!N580+ระนอง!N580+สงขลา!N580+สตูล!N580+สุราษฎร์ธานี!N580</f>
        <v>204941</v>
      </c>
      <c r="O580" s="379">
        <f t="shared" ref="O580:O584" ca="1" si="91">+IF(L580&gt;0,N580*100/L580,0)</f>
        <v>30.698540425888865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กระบี่!L581+ชุมพร!L581+ตรัง!L581+นครศรีธรรมราช!L581+นราธิวาส!L581+ปัตตานี!L581+พังงา!L581+พัทลุง!L581+ภูเก็ต!L581+ยะลา!L581+ระนอง!L581+สงขลา!L581+สตูล!L581+สุราษฎร์ธานี!L581</f>
        <v>0</v>
      </c>
      <c r="M581" s="168"/>
      <c r="N581" s="175">
        <f ca="1">กระบี่!N581+ชุมพร!N581+ตรัง!N581+นครศรีธรรมราช!N581+นราธิวาส!N581+ปัตตานี!N581+พังงา!N581+พัทลุง!N581+ภูเก็ต!N581+ยะลา!N581+ระนอง!N581+สงขลา!N581+สตูล!N581+สุราษฎร์ธานี!N581</f>
        <v>0</v>
      </c>
      <c r="O581" s="175">
        <f t="shared" ca="1" si="91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กระบี่!L582+ชุมพร!L582+ตรัง!L582+นครศรีธรรมราช!L582+นราธิวาส!L582+ปัตตานี!L582+พังงา!L582+พัทลุง!L582+ภูเก็ต!L582+ยะลา!L582+ระนอง!L582+สงขลา!L582+สตูล!L582+สุราษฎร์ธานี!L582</f>
        <v>667592</v>
      </c>
      <c r="M582" s="169"/>
      <c r="N582" s="175">
        <f ca="1">กระบี่!N582+ชุมพร!N582+ตรัง!N582+นครศรีธรรมราช!N582+นราธิวาส!N582+ปัตตานี!N582+พังงา!N582+พัทลุง!N582+ภูเก็ต!N582+ยะลา!N582+ระนอง!N582+สงขลา!N582+สตูล!N582+สุราษฎร์ธานี!N582</f>
        <v>204941</v>
      </c>
      <c r="O582" s="175">
        <f t="shared" ca="1" si="91"/>
        <v>30.698540425888865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กระบี่!L583+ชุมพร!L583+ตรัง!L583+นครศรีธรรมราช!L583+นราธิวาส!L583+ปัตตานี!L583+พังงา!L583+พัทลุง!L583+ภูเก็ต!L583+ยะลา!L583+ระนอง!L583+สงขลา!L583+สตูล!L583+สุราษฎร์ธานี!L583</f>
        <v>0</v>
      </c>
      <c r="M583" s="175"/>
      <c r="N583" s="175">
        <f ca="1">กระบี่!N583+ชุมพร!N583+ตรัง!N583+นครศรีธรรมราช!N583+นราธิวาส!N583+ปัตตานี!N583+พังงา!N583+พัทลุง!N583+ภูเก็ต!N583+ยะลา!N583+ระนอง!N583+สงขลา!N583+สตูล!N583+สุราษฎร์ธานี!N583</f>
        <v>0</v>
      </c>
      <c r="O583" s="175">
        <f t="shared" ca="1" si="91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กระบี่!L584+ชุมพร!L584+ตรัง!L584+นครศรีธรรมราช!L584+นราธิวาส!L584+ปัตตานี!L584+พังงา!L584+พัทลุง!L584+ภูเก็ต!L584+ยะลา!L584+ระนอง!L584+สงขลา!L584+สตูล!L584+สุราษฎร์ธานี!L584</f>
        <v>667592</v>
      </c>
      <c r="M584" s="175"/>
      <c r="N584" s="175">
        <f ca="1">กระบี่!N584+ชุมพร!N584+ตรัง!N584+นครศรีธรรมราช!N584+นราธิวาส!N584+ปัตตานี!N584+พังงา!N584+พัทลุง!N584+ภูเก็ต!N584+ยะลา!N584+ระนอง!N584+สงขลา!N584+สตูล!N584+สุราษฎร์ธานี!N584</f>
        <v>204941</v>
      </c>
      <c r="O584" s="175">
        <f t="shared" ca="1" si="91"/>
        <v>30.698540425888865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กระบี่!N585+ชุมพร!N585+ตรัง!N585+นครศรีธรรมราช!N585+นราธิวาส!N585+ปัตตานี!N585+พังงา!N585+พัทลุง!N585+ภูเก็ต!N585+ยะลา!N585+ระนอง!N585+สงขลา!N585+สตูล!N585+สุราษฎร์ธานี!N585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กระบี่!N586+ชุมพร!N586+ตรัง!N586+นครศรีธรรมราช!N586+นราธิวาส!N586+ปัตตานี!N586+พังงา!N586+พัทลุง!N586+ภูเก็ต!N586+ยะลา!N586+ระนอง!N586+สงขลา!N586+สตูล!N586+สุราษฎร์ธานี!N586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กระบี่!N587+ชุมพร!N587+ตรัง!N587+นครศรีธรรมราช!N587+นราธิวาส!N587+ปัตตานี!N587+พังงา!N587+พัทลุง!N587+ภูเก็ต!N587+ยะลา!N587+ระนอง!N587+สงขลา!N587+สตูล!N587+สุราษฎร์ธานี!N587</f>
        <v>64935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กระบี่!N588+ชุมพร!N588+ตรัง!N588+นครศรีธรรมราช!N588+นราธิวาส!N588+ปัตตานี!N588+พังงา!N588+พัทลุง!N588+ภูเก็ต!N588+ยะลา!N588+ระนอง!N588+สงขลา!N588+สตูล!N588+สุราษฎร์ธานี!N588</f>
        <v>140006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กระบี่!I589+ชุมพร!I589+ตรัง!I589+นครศรีธรรมราช!I589+นราธิวาส!I589+ปัตตานี!I589+พังงา!I589+พัทลุง!I589+ภูเก็ต!I589+ยะลา!I589+ระนอง!I589+สงขลา!I589+สตูล!I589+สุราษฎร์ธานี!I589</f>
        <v>292</v>
      </c>
      <c r="J589" s="194">
        <f ca="1">กระบี่!J589+ชุมพร!J589+ตรัง!J589+นครศรีธรรมราช!J589+นราธิวาส!J589+ปัตตานี!J589+พังงา!J589+พัทลุง!J589+ภูเก็ต!J589+ยะลา!J589+ระนอง!J589+สงขลา!J589+สตูล!J589+สุราษฎร์ธานี!J589</f>
        <v>301</v>
      </c>
      <c r="K589" s="167">
        <f t="shared" ref="K589:K596" ca="1" si="92">IF(I589&gt;0,J589*100/I589,0)</f>
        <v>103.08219178082192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กระบี่!I590+ชุมพร!I590+ตรัง!I590+นครศรีธรรมราช!I590+นราธิวาส!I590+ปัตตานี!I590+พังงา!I590+พัทลุง!I590+ภูเก็ต!I590+ยะลา!I590+ระนอง!I590+สงขลา!I590+สตูล!I590+สุราษฎร์ธานี!I590</f>
        <v>0</v>
      </c>
      <c r="J590" s="194">
        <f ca="1">กระบี่!J590+ชุมพร!J590+ตรัง!J590+นครศรีธรรมราช!J590+นราธิวาส!J590+ปัตตานี!J590+พังงา!J590+พัทลุง!J590+ภูเก็ต!J590+ยะลา!J590+ระนอง!J590+สงขลา!J590+สตูล!J590+สุราษฎร์ธานี!J590</f>
        <v>81.839999999999989</v>
      </c>
      <c r="K590" s="485">
        <f t="shared" ca="1" si="92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กระบี่!I591+ชุมพร!I591+ตรัง!I591+นครศรีธรรมราช!I591+นราธิวาส!I591+ปัตตานี!I591+พังงา!I591+พัทลุง!I591+ภูเก็ต!I591+ยะลา!I591+ระนอง!I591+สงขลา!I591+สตูล!I591+สุราษฎร์ธานี!I591</f>
        <v>292</v>
      </c>
      <c r="J591" s="194">
        <f ca="1">กระบี่!J591+ชุมพร!J591+ตรัง!J591+นครศรีธรรมราช!J591+นราธิวาส!J591+ปัตตานี!J591+พังงา!J591+พัทลุง!J591+ภูเก็ต!J591+ยะลา!J591+ระนอง!J591+สงขลา!J591+สตูล!J591+สุราษฎร์ธานี!J591</f>
        <v>86</v>
      </c>
      <c r="K591" s="167">
        <f t="shared" ca="1" si="92"/>
        <v>29.452054794520549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กระบี่!I592+ชุมพร!I592+ตรัง!I592+นครศรีธรรมราช!I592+นราธิวาส!I592+ปัตตานี!I592+พังงา!I592+พัทลุง!I592+ภูเก็ต!I592+ยะลา!I592+ระนอง!I592+สงขลา!I592+สตูล!I592+สุราษฎร์ธานี!I592</f>
        <v>0</v>
      </c>
      <c r="J592" s="194">
        <f ca="1">กระบี่!J592+ชุมพร!J592+ตรัง!J592+นครศรีธรรมราช!J592+นราธิวาส!J592+ปัตตานี!J592+พังงา!J592+พัทลุง!J592+ภูเก็ต!J592+ยะลา!J592+ระนอง!J592+สงขลา!J592+สตูล!J592+สุราษฎร์ธานี!J592</f>
        <v>27.75</v>
      </c>
      <c r="K592" s="348">
        <f t="shared" ca="1" si="92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กระบี่!I593+ชุมพร!I593+ตรัง!I593+นครศรีธรรมราช!I593+นราธิวาส!I593+ปัตตานี!I593+พังงา!I593+พัทลุง!I593+ภูเก็ต!I593+ยะลา!I593+ระนอง!I593+สงขลา!I593+สตูล!I593+สุราษฎร์ธานี!I593</f>
        <v>292</v>
      </c>
      <c r="J593" s="194">
        <f ca="1">กระบี่!J593+ชุมพร!J593+ตรัง!J593+นครศรีธรรมราช!J593+นราธิวาส!J593+ปัตตานี!J593+พังงา!J593+พัทลุง!J593+ภูเก็ต!J593+ยะลา!J593+ระนอง!J593+สงขลา!J593+สตูล!J593+สุราษฎร์ธานี!J593</f>
        <v>0</v>
      </c>
      <c r="K593" s="167">
        <f t="shared" ca="1" si="92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กระบี่!I594+ชุมพร!I594+ตรัง!I594+นครศรีธรรมราช!I594+นราธิวาส!I594+ปัตตานี!I594+พังงา!I594+พัทลุง!I594+ภูเก็ต!I594+ยะลา!I594+ระนอง!I594+สงขลา!I594+สตูล!I594+สุราษฎร์ธานี!I594</f>
        <v>0</v>
      </c>
      <c r="J594" s="194">
        <f ca="1">กระบี่!J594+ชุมพร!J594+ตรัง!J594+นครศรีธรรมราช!J594+นราธิวาส!J594+ปัตตานี!J594+พังงา!J594+พัทลุง!J594+ภูเก็ต!J594+ยะลา!J594+ระนอง!J594+สงขลา!J594+สตูล!J594+สุราษฎร์ธานี!J594</f>
        <v>0</v>
      </c>
      <c r="K594" s="348">
        <f t="shared" ca="1" si="92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กระบี่!I595+ชุมพร!I595+ตรัง!I595+นครศรีธรรมราช!I595+นราธิวาส!I595+ปัตตานี!I595+พังงา!I595+พัทลุง!I595+ภูเก็ต!I595+ยะลา!I595+ระนอง!I595+สงขลา!I595+สตูล!I595+สุราษฎร์ธานี!I595</f>
        <v>292</v>
      </c>
      <c r="J595" s="194">
        <f ca="1">กระบี่!J595+ชุมพร!J595+ตรัง!J595+นครศรีธรรมราช!J595+นราธิวาส!J595+ปัตตานี!J595+พังงา!J595+พัทลุง!J595+ภูเก็ต!J595+ยะลา!J595+ระนอง!J595+สงขลา!J595+สตูล!J595+สุราษฎร์ธานี!J595</f>
        <v>2</v>
      </c>
      <c r="K595" s="167">
        <f t="shared" ca="1" si="92"/>
        <v>0.68493150684931503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กระบี่!I596+ชุมพร!I596+ตรัง!I596+นครศรีธรรมราช!I596+นราธิวาส!I596+ปัตตานี!I596+พังงา!I596+พัทลุง!I596+ภูเก็ต!I596+ยะลา!I596+ระนอง!I596+สงขลา!I596+สตูล!I596+สุราษฎร์ธานี!I596</f>
        <v>0</v>
      </c>
      <c r="J596" s="247">
        <f ca="1">กระบี่!J596+ชุมพร!J596+ตรัง!J596+นครศรีธรรมราช!J596+นราธิวาส!J596+ปัตตานี!J596+พังงา!J596+พัทลุง!J596+ภูเก็ต!J596+ยะลา!J596+ระนอง!J596+สงขลา!J596+สตูล!J596+สุราษฎร์ธานี!J596</f>
        <v>1.01</v>
      </c>
      <c r="K596" s="492">
        <f t="shared" ca="1" si="92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กระบี่!I597+ชุมพร!I597+ตรัง!I597+นครศรีธรรมราช!I597+นราธิวาส!I597+ปัตตานี!I597+พังงา!I597+พัทลุง!I597+ภูเก็ต!I597+ยะลา!I597+ระนอง!I597+สงขลา!I597+สตูล!I597+สุราษฎร์ธานี!I597</f>
        <v>1328</v>
      </c>
      <c r="J597" s="493">
        <f ca="1">กระบี่!J597+ชุมพร!J597+ตรัง!J597+นครศรีธรรมราช!J597+นราธิวาส!J597+ปัตตานี!J597+พังงา!J597+พัทลุง!J597+ภูเก็ต!J597+ยะลา!J597+ระนอง!J597+สงขลา!J597+สตูล!J597+สุราษฎร์ธานี!J597</f>
        <v>0</v>
      </c>
      <c r="K597" s="417">
        <f ca="1">IF(I597&gt;0,J597*100/I597,0)</f>
        <v>0</v>
      </c>
      <c r="L597" s="418">
        <f ca="1">กระบี่!L597+ชุมพร!L597+ตรัง!L597+นครศรีธรรมราช!L597+นราธิวาส!L597+ปัตตานี!L597+พังงา!L597+พัทลุง!L597+ภูเก็ต!L597+ยะลา!L597+ระนอง!L597+สงขลา!L597+สตูล!L597+สุราษฎร์ธานี!L597</f>
        <v>123580</v>
      </c>
      <c r="M597" s="418"/>
      <c r="N597" s="418">
        <f ca="1">กระบี่!N597+ชุมพร!N597+ตรัง!N597+นครศรีธรรมราช!N597+นราธิวาส!N597+ปัตตานี!N597+พังงา!N597+พัทลุง!N597+ภูเก็ต!N597+ยะลา!N597+ระนอง!N597+สงขลา!N597+สตูล!N597+สุราษฎร์ธานี!N597</f>
        <v>29316.84</v>
      </c>
      <c r="O597" s="418">
        <f t="shared" ref="O597:O601" ca="1" si="93">+IF(L597&gt;0,N597*100/L597,0)</f>
        <v>23.722964881048714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กระบี่!L598+ชุมพร!L598+ตรัง!L598+นครศรีธรรมราช!L598+นราธิวาส!L598+ปัตตานี!L598+พังงา!L598+พัทลุง!L598+ภูเก็ต!L598+ยะลา!L598+ระนอง!L598+สงขลา!L598+สตูล!L598+สุราษฎร์ธานี!L598</f>
        <v>0</v>
      </c>
      <c r="M598" s="168"/>
      <c r="N598" s="175">
        <f ca="1">กระบี่!N598+ชุมพร!N598+ตรัง!N598+นครศรีธรรมราช!N598+นราธิวาส!N598+ปัตตานี!N598+พังงา!N598+พัทลุง!N598+ภูเก็ต!N598+ยะลา!N598+ระนอง!N598+สงขลา!N598+สตูล!N598+สุราษฎร์ธานี!N598</f>
        <v>0</v>
      </c>
      <c r="O598" s="175">
        <f t="shared" ca="1" si="93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กระบี่!L599+ชุมพร!L599+ตรัง!L599+นครศรีธรรมราช!L599+นราธิวาส!L599+ปัตตานี!L599+พังงา!L599+พัทลุง!L599+ภูเก็ต!L599+ยะลา!L599+ระนอง!L599+สงขลา!L599+สตูล!L599+สุราษฎร์ธานี!L599</f>
        <v>123580</v>
      </c>
      <c r="M599" s="169"/>
      <c r="N599" s="175">
        <f ca="1">กระบี่!N599+ชุมพร!N599+ตรัง!N599+นครศรีธรรมราช!N599+นราธิวาส!N599+ปัตตานี!N599+พังงา!N599+พัทลุง!N599+ภูเก็ต!N599+ยะลา!N599+ระนอง!N599+สงขลา!N599+สตูล!N599+สุราษฎร์ธานี!N599</f>
        <v>29316.84</v>
      </c>
      <c r="O599" s="175">
        <f t="shared" ca="1" si="93"/>
        <v>23.722964881048714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กระบี่!L600+ชุมพร!L600+ตรัง!L600+นครศรีธรรมราช!L600+นราธิวาส!L600+ปัตตานี!L600+พังงา!L600+พัทลุง!L600+ภูเก็ต!L600+ยะลา!L600+ระนอง!L600+สงขลา!L600+สตูล!L600+สุราษฎร์ธานี!L600</f>
        <v>0</v>
      </c>
      <c r="M600" s="175"/>
      <c r="N600" s="175">
        <f ca="1">กระบี่!N600+ชุมพร!N600+ตรัง!N600+นครศรีธรรมราช!N600+นราธิวาส!N600+ปัตตานี!N600+พังงา!N600+พัทลุง!N600+ภูเก็ต!N600+ยะลา!N600+ระนอง!N600+สงขลา!N600+สตูล!N600+สุราษฎร์ธานี!N600</f>
        <v>0</v>
      </c>
      <c r="O600" s="175">
        <f t="shared" ca="1" si="93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กระบี่!L601+ชุมพร!L601+ตรัง!L601+นครศรีธรรมราช!L601+นราธิวาส!L601+ปัตตานี!L601+พังงา!L601+พัทลุง!L601+ภูเก็ต!L601+ยะลา!L601+ระนอง!L601+สงขลา!L601+สตูล!L601+สุราษฎร์ธานี!L601</f>
        <v>123580</v>
      </c>
      <c r="M601" s="175"/>
      <c r="N601" s="175">
        <f ca="1">กระบี่!N601+ชุมพร!N601+ตรัง!N601+นครศรีธรรมราช!N601+นราธิวาส!N601+ปัตตานี!N601+พังงา!N601+พัทลุง!N601+ภูเก็ต!N601+ยะลา!N601+ระนอง!N601+สงขลา!N601+สตูล!N601+สุราษฎร์ธานี!N601</f>
        <v>29316.84</v>
      </c>
      <c r="O601" s="175">
        <f t="shared" ca="1" si="93"/>
        <v>23.722964881048714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กระบี่!N602+ชุมพร!N602+ตรัง!N602+นครศรีธรรมราช!N602+นราธิวาส!N602+ปัตตานี!N602+พังงา!N602+พัทลุง!N602+ภูเก็ต!N602+ยะลา!N602+ระนอง!N602+สงขลา!N602+สตูล!N602+สุราษฎร์ธานี!N602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กระบี่!N603+ชุมพร!N603+ตรัง!N603+นครศรีธรรมราช!N603+นราธิวาส!N603+ปัตตานี!N603+พังงา!N603+พัทลุง!N603+ภูเก็ต!N603+ยะลา!N603+ระนอง!N603+สงขลา!N603+สตูล!N603+สุราษฎร์ธานี!N603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กระบี่!N604+ชุมพร!N604+ตรัง!N604+นครศรีธรรมราช!N604+นราธิวาส!N604+ปัตตานี!N604+พังงา!N604+พัทลุง!N604+ภูเก็ต!N604+ยะลา!N604+ระนอง!N604+สงขลา!N604+สตูล!N604+สุราษฎร์ธานี!N604</f>
        <v>2400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กระบี่!N605+ชุมพร!N605+ตรัง!N605+นครศรีธรรมราช!N605+นราธิวาส!N605+ปัตตานี!N605+พังงา!N605+พัทลุง!N605+ภูเก็ต!N605+ยะลา!N605+ระนอง!N605+สงขลา!N605+สตูล!N605+สุราษฎร์ธานี!N605</f>
        <v>26916.84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กระบี่!J607+ชุมพร!J607+ตรัง!J607+นครศรีธรรมราช!J607+นราธิวาส!J607+ปัตตานี!J607+พังงา!J607+พัทลุง!J607+ภูเก็ต!J607+ยะลา!J607+ระนอง!J607+สงขลา!J607+สตูล!J607+สุราษฎร์ธานี!J607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กระบี่!J608+ชุมพร!J608+ตรัง!J608+นครศรีธรรมราช!J608+นราธิวาส!J608+ปัตตานี!J608+พังงา!J608+พัทลุง!J608+ภูเก็ต!J608+ยะลา!J608+ระนอง!J608+สงขลา!J608+สตูล!J608+สุราษฎร์ธานี!J608</f>
        <v>14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กระบี่!J609+ชุมพร!J609+ตรัง!J609+นครศรีธรรมราช!J609+นราธิวาส!J609+ปัตตานี!J609+พังงา!J609+พัทลุง!J609+ภูเก็ต!J609+ยะลา!J609+ระนอง!J609+สงขลา!J609+สตูล!J609+สุราษฎร์ธานี!J609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กระบี่!J610+ชุมพร!J610+ตรัง!J610+นครศรีธรรมราช!J610+นราธิวาส!J610+ปัตตานี!J610+พังงา!J610+พัทลุง!J610+ภูเก็ต!J610+ยะลา!J610+ระนอง!J610+สงขลา!J610+สตูล!J610+สุราษฎร์ธานี!J610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กระบี่!I611+ชุมพร!I611+ตรัง!I611+นครศรีธรรมราช!I611+นราธิวาส!I611+ปัตตานี!I611+พังงา!I611+พัทลุง!I611+ภูเก็ต!I611+ยะลา!I611+ระนอง!I611+สงขลา!I611+สตูล!I611+สุราษฎร์ธานี!I611</f>
        <v>1328</v>
      </c>
      <c r="J611" s="166">
        <f ca="1">กระบี่!J611+ชุมพร!J611+ตรัง!J611+นครศรีธรรมราช!J611+นราธิวาส!J611+ปัตตานี!J611+พังงา!J611+พัทลุง!J611+ภูเก็ต!J611+ยะลา!J611+ระนอง!J611+สงขลา!J611+สตูล!J611+สุราษฎร์ธานี!J611</f>
        <v>0</v>
      </c>
      <c r="K611" s="167">
        <f t="shared" ref="K611:K619" ca="1" si="94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กระบี่!I612+ชุมพร!I612+ตรัง!I612+นครศรีธรรมราช!I612+นราธิวาส!I612+ปัตตานี!I612+พังงา!I612+พัทลุง!I612+ภูเก็ต!I612+ยะลา!I612+ระนอง!I612+สงขลา!I612+สตูล!I612+สุราษฎร์ธานี!I612</f>
        <v>0</v>
      </c>
      <c r="J612" s="204">
        <f ca="1">กระบี่!J612+ชุมพร!J612+ตรัง!J612+นครศรีธรรมราช!J612+นราธิวาส!J612+ปัตตานี!J612+พังงา!J612+พัทลุง!J612+ภูเก็ต!J612+ยะลา!J612+ระนอง!J612+สงขลา!J612+สตูล!J612+สุราษฎร์ธานี!J612</f>
        <v>942.65</v>
      </c>
      <c r="K612" s="167">
        <f t="shared" ca="1" si="94"/>
        <v>70.982680722891573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กระบี่!I613+ชุมพร!I613+ตรัง!I613+นครศรีธรรมราช!I613+นราธิวาส!I613+ปัตตานี!I613+พังงา!I613+พัทลุง!I613+ภูเก็ต!I613+ยะลา!I613+ระนอง!I613+สงขลา!I613+สตูล!I613+สุราษฎร์ธานี!I613</f>
        <v>0</v>
      </c>
      <c r="J613" s="204">
        <f ca="1">กระบี่!J613+ชุมพร!J613+ตรัง!J613+นครศรีธรรมราช!J613+นราธิวาส!J613+ปัตตานี!J613+พังงา!J613+พัทลุง!J613+ภูเก็ต!J613+ยะลา!J613+ระนอง!J613+สงขลา!J613+สตูล!J613+สุราษฎร์ธานี!J613</f>
        <v>882.55</v>
      </c>
      <c r="K613" s="167">
        <f t="shared" ca="1" si="94"/>
        <v>66.457078313253007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กระบี่!I614+ชุมพร!I614+ตรัง!I614+นครศรีธรรมราช!I614+นราธิวาส!I614+ปัตตานี!I614+พังงา!I614+พัทลุง!I614+ภูเก็ต!I614+ยะลา!I614+ระนอง!I614+สงขลา!I614+สตูล!I614+สุราษฎร์ธานี!I614</f>
        <v>0</v>
      </c>
      <c r="J614" s="204">
        <f ca="1">กระบี่!J614+ชุมพร!J614+ตรัง!J614+นครศรีธรรมราช!J614+นราธิวาส!J614+ปัตตานี!J614+พังงา!J614+พัทลุง!J614+ภูเก็ต!J614+ยะลา!J614+ระนอง!J614+สงขลา!J614+สตูล!J614+สุราษฎร์ธานี!J614</f>
        <v>882.55</v>
      </c>
      <c r="K614" s="167">
        <f t="shared" ca="1" si="94"/>
        <v>66.457078313253007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กระบี่!I615+ชุมพร!I615+ตรัง!I615+นครศรีธรรมราช!I615+นราธิวาส!I615+ปัตตานี!I615+พังงา!I615+พัทลุง!I615+ภูเก็ต!I615+ยะลา!I615+ระนอง!I615+สงขลา!I615+สตูล!I615+สุราษฎร์ธานี!I615</f>
        <v>0</v>
      </c>
      <c r="J615" s="204">
        <f ca="1">กระบี่!J615+ชุมพร!J615+ตรัง!J615+นครศรีธรรมราช!J615+นราธิวาส!J615+ปัตตานี!J615+พังงา!J615+พัทลุง!J615+ภูเก็ต!J615+ยะลา!J615+ระนอง!J615+สงขลา!J615+สตูล!J615+สุราษฎร์ธานี!J615</f>
        <v>882.55</v>
      </c>
      <c r="K615" s="167">
        <f t="shared" ca="1" si="94"/>
        <v>66.457078313253007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กระบี่!I616+ชุมพร!I616+ตรัง!I616+นครศรีธรรมราช!I616+นราธิวาส!I616+ปัตตานี!I616+พังงา!I616+พัทลุง!I616+ภูเก็ต!I616+ยะลา!I616+ระนอง!I616+สงขลา!I616+สตูล!I616+สุราษฎร์ธานี!I616</f>
        <v>0</v>
      </c>
      <c r="J616" s="204">
        <f ca="1">กระบี่!J616+ชุมพร!J616+ตรัง!J616+นครศรีธรรมราช!J616+นราธิวาส!J616+ปัตตานี!J616+พังงา!J616+พัทลุง!J616+ภูเก็ต!J616+ยะลา!J616+ระนอง!J616+สงขลา!J616+สตูล!J616+สุราษฎร์ธานี!J616</f>
        <v>66</v>
      </c>
      <c r="K616" s="167">
        <f t="shared" ca="1" si="94"/>
        <v>4.9698795180722888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กระบี่!I617+ชุมพร!I617+ตรัง!I617+นครศรีธรรมราช!I617+นราธิวาส!I617+ปัตตานี!I617+พังงา!I617+พัทลุง!I617+ภูเก็ต!I617+ยะลา!I617+ระนอง!I617+สงขลา!I617+สตูล!I617+สุราษฎร์ธานี!I617</f>
        <v>0</v>
      </c>
      <c r="J617" s="194">
        <f ca="1">กระบี่!J617+ชุมพร!J617+ตรัง!J617+นครศรีธรรมราช!J617+นราธิวาส!J617+ปัตตานี!J617+พังงา!J617+พัทลุง!J617+ภูเก็ต!J617+ยะลา!J617+ระนอง!J617+สงขลา!J617+สตูล!J617+สุราษฎร์ธานี!J617</f>
        <v>0</v>
      </c>
      <c r="K617" s="167">
        <f t="shared" ca="1" si="94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กระบี่!I618+ชุมพร!I618+ตรัง!I618+นครศรีธรรมราช!I618+นราธิวาส!I618+ปัตตานี!I618+พังงา!I618+พัทลุง!I618+ภูเก็ต!I618+ยะลา!I618+ระนอง!I618+สงขลา!I618+สตูล!I618+สุราษฎร์ธานี!I618</f>
        <v>0</v>
      </c>
      <c r="J618" s="195">
        <f ca="1">กระบี่!J618+ชุมพร!J618+ตรัง!J618+นครศรีธรรมราช!J618+นราธิวาส!J618+ปัตตานี!J618+พังงา!J618+พัทลุง!J618+ภูเก็ต!J618+ยะลา!J618+ระนอง!J618+สงขลา!J618+สตูล!J618+สุราษฎร์ธานี!J618</f>
        <v>0</v>
      </c>
      <c r="K618" s="167">
        <f t="shared" ca="1" si="94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กระบี่!I619+ชุมพร!I619+ตรัง!I619+นครศรีธรรมราช!I619+นราธิวาส!I619+ปัตตานี!I619+พังงา!I619+พัทลุง!I619+ภูเก็ต!I619+ยะลา!I619+ระนอง!I619+สงขลา!I619+สตูล!I619+สุราษฎร์ธานี!I619</f>
        <v>0</v>
      </c>
      <c r="J619" s="195">
        <f ca="1">กระบี่!J619+ชุมพร!J619+ตรัง!J619+นครศรีธรรมราช!J619+นราธิวาส!J619+ปัตตานี!J619+พังงา!J619+พัทลุง!J619+ภูเก็ต!J619+ยะลา!J619+ระนอง!J619+สงขลา!J619+สตูล!J619+สุราษฎร์ธานี!J619</f>
        <v>0</v>
      </c>
      <c r="K619" s="167">
        <f t="shared" ca="1" si="94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กระบี่!I620+ชุมพร!I620+ตรัง!I620+นครศรีธรรมราช!I620+นราธิวาส!I620+ปัตตานี!I620+พังงา!I620+พัทลุง!I620+ภูเก็ต!I620+ยะลา!I620+ระนอง!I620+สงขลา!I620+สตูล!I620+สุราษฎร์ธานี!I620</f>
        <v>314.83999999999901</v>
      </c>
      <c r="J620" s="209">
        <f ca="1">กระบี่!J620+ชุมพร!J620+ตรัง!J620+นครศรีธรรมราช!J620+นราธิวาส!J620+ปัตตานี!J620+พังงา!J620+พัทลุง!J620+ภูเก็ต!J620+ยะลา!J620+ระนอง!J620+สงขลา!J620+สตูล!J620+สุราษฎร์ธานี!J620</f>
        <v>267</v>
      </c>
      <c r="K620" s="167">
        <f t="shared" ref="K620:K626" ca="1" si="95">IF(I$620&gt;0,J620*100/I$620,0)</f>
        <v>84.804980307458024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กระบี่!I621+ชุมพร!I621+ตรัง!I621+นครศรีธรรมราช!I621+นราธิวาส!I621+ปัตตานี!I621+พังงา!I621+พัทลุง!I621+ภูเก็ต!I621+ยะลา!I621+ระนอง!I621+สงขลา!I621+สตูล!I621+สุราษฎร์ธานี!I621</f>
        <v>0</v>
      </c>
      <c r="J621" s="209">
        <f ca="1">กระบี่!J621+ชุมพร!J621+ตรัง!J621+นครศรีธรรมราช!J621+นราธิวาส!J621+ปัตตานี!J621+พังงา!J621+พัทลุง!J621+ภูเก็ต!J621+ยะลา!J621+ระนอง!J621+สงขลา!J621+สตูล!J621+สุราษฎร์ธานี!J621</f>
        <v>267</v>
      </c>
      <c r="K621" s="167">
        <f t="shared" ca="1" si="95"/>
        <v>84.804980307458024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กระบี่!I622+ชุมพร!I622+ตรัง!I622+นครศรีธรรมราช!I622+นราธิวาส!I622+ปัตตานี!I622+พังงา!I622+พัทลุง!I622+ภูเก็ต!I622+ยะลา!I622+ระนอง!I622+สงขลา!I622+สตูล!I622+สุราษฎร์ธานี!I622</f>
        <v>0</v>
      </c>
      <c r="J622" s="195">
        <f ca="1">กระบี่!J622+ชุมพร!J622+ตรัง!J622+นครศรีธรรมราช!J622+นราธิวาส!J622+ปัตตานี!J622+พังงา!J622+พัทลุง!J622+ภูเก็ต!J622+ยะลา!J622+ระนอง!J622+สงขลา!J622+สตูล!J622+สุราษฎร์ธานี!J622</f>
        <v>125</v>
      </c>
      <c r="K622" s="167">
        <f t="shared" ca="1" si="95"/>
        <v>39.702706136450388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กระบี่!I623+ชุมพร!I623+ตรัง!I623+นครศรีธรรมราช!I623+นราธิวาส!I623+ปัตตานี!I623+พังงา!I623+พัทลุง!I623+ภูเก็ต!I623+ยะลา!I623+ระนอง!I623+สงขลา!I623+สตูล!I623+สุราษฎร์ธานี!I623</f>
        <v>0</v>
      </c>
      <c r="J623" s="195">
        <f ca="1">กระบี่!J623+ชุมพร!J623+ตรัง!J623+นครศรีธรรมราช!J623+นราธิวาส!J623+ปัตตานี!J623+พังงา!J623+พัทลุง!J623+ภูเก็ต!J623+ยะลา!J623+ระนอง!J623+สงขลา!J623+สตูล!J623+สุราษฎร์ธานี!J623</f>
        <v>142</v>
      </c>
      <c r="K623" s="167">
        <f t="shared" ca="1" si="95"/>
        <v>45.102274171007636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กระบี่!I624+ชุมพร!I624+ตรัง!I624+นครศรีธรรมราช!I624+นราธิวาส!I624+ปัตตานี!I624+พังงา!I624+พัทลุง!I624+ภูเก็ต!I624+ยะลา!I624+ระนอง!I624+สงขลา!I624+สตูล!I624+สุราษฎร์ธานี!I624</f>
        <v>0</v>
      </c>
      <c r="J624" s="194">
        <f ca="1">กระบี่!J624+ชุมพร!J624+ตรัง!J624+นครศรีธรรมราช!J624+นราธิวาส!J624+ปัตตานี!J624+พังงา!J624+พัทลุง!J624+ภูเก็ต!J624+ยะลา!J624+ระนอง!J624+สงขลา!J624+สตูล!J624+สุราษฎร์ธานี!J624</f>
        <v>267</v>
      </c>
      <c r="K624" s="167">
        <f t="shared" ca="1" si="95"/>
        <v>84.804980307458024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กระบี่!I625+ชุมพร!I625+ตรัง!I625+นครศรีธรรมราช!I625+นราธิวาส!I625+ปัตตานี!I625+พังงา!I625+พัทลุง!I625+ภูเก็ต!I625+ยะลา!I625+ระนอง!I625+สงขลา!I625+สตูล!I625+สุราษฎร์ธานี!I625</f>
        <v>0</v>
      </c>
      <c r="J625" s="195">
        <f ca="1">กระบี่!J625+ชุมพร!J625+ตรัง!J625+นครศรีธรรมราช!J625+นราธิวาส!J625+ปัตตานี!J625+พังงา!J625+พัทลุง!J625+ภูเก็ต!J625+ยะลา!J625+ระนอง!J625+สงขลา!J625+สตูล!J625+สุราษฎร์ธานี!J625</f>
        <v>248</v>
      </c>
      <c r="K625" s="167">
        <f t="shared" ca="1" si="95"/>
        <v>78.770168974717564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กระบี่!I626+ชุมพร!I626+ตรัง!I626+นครศรีธรรมราช!I626+นราธิวาส!I626+ปัตตานี!I626+พังงา!I626+พัทลุง!I626+ภูเก็ต!I626+ยะลา!I626+ระนอง!I626+สงขลา!I626+สตูล!I626+สุราษฎร์ธานี!I626</f>
        <v>0</v>
      </c>
      <c r="J626" s="195">
        <f ca="1">กระบี่!J626+ชุมพร!J626+ตรัง!J626+นครศรีธรรมราช!J626+นราธิวาส!J626+ปัตตานี!J626+พังงา!J626+พัทลุง!J626+ภูเก็ต!J626+ยะลา!J626+ระนอง!J626+สงขลา!J626+สตูล!J626+สุราษฎร์ธานี!J626</f>
        <v>248</v>
      </c>
      <c r="K626" s="167">
        <f t="shared" ca="1" si="95"/>
        <v>78.770168974717564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กระบี่!I628+ชุมพร!I628+ตรัง!I628+นครศรีธรรมราช!I628+นราธิวาส!I628+ปัตตานี!I628+พังงา!I628+พัทลุง!I628+ภูเก็ต!I628+ยะลา!I628+ระนอง!I628+สงขลา!I628+สตูล!I628+สุราษฎร์ธานี!I628</f>
        <v>18699261.189999998</v>
      </c>
      <c r="J628" s="347">
        <f ca="1">กระบี่!J628+ชุมพร!J628+ตรัง!J628+นครศรีธรรมราช!J628+นราธิวาส!J628+ปัตตานี!J628+พังงา!J628+พัทลุง!J628+ภูเก็ต!J628+ยะลา!J628+ระนอง!J628+สงขลา!J628+สตูล!J628+สุราษฎร์ธานี!J628</f>
        <v>5717688.6300000008</v>
      </c>
      <c r="K628" s="348">
        <f t="shared" ref="K628:K635" ca="1" si="96">IF(I628&gt;0,J628*100/I628,0)</f>
        <v>30.577083083141865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กระบี่!I629+ชุมพร!I629+ตรัง!I629+นครศรีธรรมราช!I629+นราธิวาส!I629+ปัตตานี!I629+พังงา!I629+พัทลุง!I629+ภูเก็ต!I629+ยะลา!I629+ระนอง!I629+สงขลา!I629+สตูล!I629+สุราษฎร์ธานี!I629</f>
        <v>1451</v>
      </c>
      <c r="J629" s="347">
        <f ca="1">กระบี่!J629+ชุมพร!J629+ตรัง!J629+นครศรีธรรมราช!J629+นราธิวาส!J629+ปัตตานี!J629+พังงา!J629+พัทลุง!J629+ภูเก็ต!J629+ยะลา!J629+ระนอง!J629+สงขลา!J629+สตูล!J629+สุราษฎร์ธานี!J629</f>
        <v>465</v>
      </c>
      <c r="K629" s="348">
        <f t="shared" ca="1" si="96"/>
        <v>32.046864231564442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กระบี่!I630+ชุมพร!I630+ตรัง!I630+นครศรีธรรมราช!I630+นราธิวาส!I630+ปัตตานี!I630+พังงา!I630+พัทลุง!I630+ภูเก็ต!I630+ยะลา!I630+ระนอง!I630+สงขลา!I630+สตูล!I630+สุราษฎร์ธานี!I630</f>
        <v>21691383.199999999</v>
      </c>
      <c r="J630" s="347">
        <f ca="1">กระบี่!J630+ชุมพร!J630+ตรัง!J630+นครศรีธรรมราช!J630+นราธิวาส!J630+ปัตตานี!J630+พังงา!J630+พัทลุง!J630+ภูเก็ต!J630+ยะลา!J630+ระนอง!J630+สงขลา!J630+สตูล!J630+สุราษฎร์ธานี!J630</f>
        <v>3341119.43</v>
      </c>
      <c r="K630" s="348">
        <f t="shared" ca="1" si="96"/>
        <v>15.402980064452507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กระบี่!I631+ชุมพร!I631+ตรัง!I631+นครศรีธรรมราช!I631+นราธิวาส!I631+ปัตตานี!I631+พังงา!I631+พัทลุง!I631+ภูเก็ต!I631+ยะลา!I631+ระนอง!I631+สงขลา!I631+สตูล!I631+สุราษฎร์ธานี!I631</f>
        <v>878</v>
      </c>
      <c r="J631" s="347">
        <f ca="1">กระบี่!J631+ชุมพร!J631+ตรัง!J631+นครศรีธรรมราช!J631+นราธิวาส!J631+ปัตตานี!J631+พังงา!J631+พัทลุง!J631+ภูเก็ต!J631+ยะลา!J631+ระนอง!J631+สงขลา!J631+สตูล!J631+สุราษฎร์ธานี!J631</f>
        <v>523</v>
      </c>
      <c r="K631" s="348">
        <f t="shared" ca="1" si="96"/>
        <v>59.567198177676538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กระบี่!I632+ชุมพร!I632+ตรัง!I632+นครศรีธรรมราช!I632+นราธิวาส!I632+ปัตตานี!I632+พังงา!I632+พัทลุง!I632+ภูเก็ต!I632+ยะลา!I632+ระนอง!I632+สงขลา!I632+สตูล!I632+สุราษฎร์ธานี!I632</f>
        <v>196999.59999999998</v>
      </c>
      <c r="J632" s="347">
        <f ca="1">กระบี่!J632+ชุมพร!J632+ตรัง!J632+นครศรีธรรมราช!J632+นราธิวาส!J632+ปัตตานี!J632+พังงา!J632+พัทลุง!J632+ภูเก็ต!J632+ยะลา!J632+ระนอง!J632+สงขลา!J632+สตูล!J632+สุราษฎร์ธานี!J632</f>
        <v>131943.37</v>
      </c>
      <c r="K632" s="348">
        <f t="shared" ca="1" si="96"/>
        <v>66.976465942062831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กระบี่!I633+ชุมพร!I633+ตรัง!I633+นครศรีธรรมราช!I633+นราธิวาส!I633+ปัตตานี!I633+พังงา!I633+พัทลุง!I633+ภูเก็ต!I633+ยะลา!I633+ระนอง!I633+สงขลา!I633+สตูล!I633+สุราษฎร์ธานี!I633</f>
        <v>411</v>
      </c>
      <c r="J633" s="347">
        <f ca="1">กระบี่!J633+ชุมพร!J633+ตรัง!J633+นครศรีธรรมราช!J633+นราธิวาส!J633+ปัตตานี!J633+พังงา!J633+พัทลุง!J633+ภูเก็ต!J633+ยะลา!J633+ระนอง!J633+สงขลา!J633+สตูล!J633+สุราษฎร์ธานี!J633</f>
        <v>145</v>
      </c>
      <c r="K633" s="348">
        <f t="shared" ca="1" si="96"/>
        <v>35.279805352798057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กระบี่!I634+ชุมพร!I634+ตรัง!I634+นครศรีธรรมราช!I634+นราธิวาส!I634+ปัตตานี!I634+พังงา!I634+พัทลุง!I634+ภูเก็ต!I634+ยะลา!I634+ระนอง!I634+สงขลา!I634+สตูล!I634+สุราษฎร์ธานี!I634</f>
        <v>16584000</v>
      </c>
      <c r="J634" s="347">
        <f ca="1">กระบี่!J634+ชุมพร!J634+ตรัง!J634+นครศรีธรรมราช!J634+นราธิวาส!J634+ปัตตานี!J634+พังงา!J634+พัทลุง!J634+ภูเก็ต!J634+ยะลา!J634+ระนอง!J634+สงขลา!J634+สตูล!J634+สุราษฎร์ธานี!J634</f>
        <v>4339000</v>
      </c>
      <c r="K634" s="348">
        <f t="shared" ca="1" si="96"/>
        <v>26.163772310660878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กระบี่!I635+ชุมพร!I635+ตรัง!I635+นครศรีธรรมราช!I635+นราธิวาส!I635+ปัตตานี!I635+พังงา!I635+พัทลุง!I635+ภูเก็ต!I635+ยะลา!I635+ระนอง!I635+สงขลา!I635+สตูล!I635+สุราษฎร์ธานี!I635</f>
        <v>424</v>
      </c>
      <c r="J635" s="517">
        <f ca="1">กระบี่!J635+ชุมพร!J635+ตรัง!J635+นครศรีธรรมราช!J635+นราธิวาส!J635+ปัตตานี!J635+พังงา!J635+พัทลุง!J635+ภูเก็ต!J635+ยะลา!J635+ระนอง!J635+สงขลา!J635+สตูล!J635+สุราษฎร์ธานี!J635</f>
        <v>106</v>
      </c>
      <c r="K635" s="492">
        <f t="shared" ca="1" si="96"/>
        <v>25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8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256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2204665</v>
      </c>
      <c r="M8" s="23">
        <f t="shared" ca="1" si="0"/>
        <v>1297126</v>
      </c>
      <c r="N8" s="23">
        <f t="shared" ca="1" si="0"/>
        <v>1141253.3399999999</v>
      </c>
      <c r="O8" s="22">
        <f t="shared" ref="O8:O16" ca="1" si="1">IF(L8&gt;0,N8*100/L8,0)</f>
        <v>51.765385670838874</v>
      </c>
      <c r="P8" s="22">
        <f t="shared" ref="P8:P16" ca="1" si="2">IF(M8&gt;0,N8*100/M8,0)</f>
        <v>87.983229077206062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2204665</v>
      </c>
      <c r="M10" s="30">
        <f t="shared" ca="1" si="4"/>
        <v>1297126</v>
      </c>
      <c r="N10" s="30">
        <f t="shared" ca="1" si="4"/>
        <v>1141253.3399999999</v>
      </c>
      <c r="O10" s="29">
        <f t="shared" ca="1" si="1"/>
        <v>51.765385670838874</v>
      </c>
      <c r="P10" s="29">
        <f t="shared" ca="1" si="2"/>
        <v>87.983229077206062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2143965</v>
      </c>
      <c r="M12" s="38">
        <f t="shared" ca="1" si="6"/>
        <v>1236426</v>
      </c>
      <c r="N12" s="38">
        <f t="shared" ca="1" si="6"/>
        <v>1080553.3399999999</v>
      </c>
      <c r="O12" s="38">
        <f t="shared" ca="1" si="1"/>
        <v>50.399765854386608</v>
      </c>
      <c r="P12" s="38">
        <f t="shared" ca="1" si="2"/>
        <v>87.393288397364657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1379000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764965</v>
      </c>
      <c r="M14" s="38">
        <f t="shared" si="8"/>
        <v>0</v>
      </c>
      <c r="N14" s="38">
        <f t="shared" ca="1" si="8"/>
        <v>254477</v>
      </c>
      <c r="O14" s="41">
        <f t="shared" ca="1" si="1"/>
        <v>33.266489316504675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60700</v>
      </c>
      <c r="M16" s="38">
        <f t="shared" ca="1" si="10"/>
        <v>60700</v>
      </c>
      <c r="N16" s="38">
        <f t="shared" ca="1" si="10"/>
        <v>60700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1681595</v>
      </c>
      <c r="M18" s="23">
        <f t="shared" ca="1" si="11"/>
        <v>1297126</v>
      </c>
      <c r="N18" s="23">
        <f t="shared" ca="1" si="11"/>
        <v>886776.34</v>
      </c>
      <c r="O18" s="22">
        <f t="shared" ref="O18:O20" ca="1" si="12">IF(L18&gt;0,N18*100/L18,0)</f>
        <v>52.734239813986129</v>
      </c>
      <c r="P18" s="22">
        <f t="shared" ref="P18:P26" ca="1" si="13">IF(M18&gt;0,N18*100/M18,0)</f>
        <v>68.364703197684733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1681595</v>
      </c>
      <c r="M20" s="30">
        <f t="shared" ca="1" si="15"/>
        <v>1297126</v>
      </c>
      <c r="N20" s="30">
        <f t="shared" ca="1" si="15"/>
        <v>886776.34</v>
      </c>
      <c r="O20" s="29">
        <f t="shared" ca="1" si="12"/>
        <v>52.734239813986129</v>
      </c>
      <c r="P20" s="29">
        <f t="shared" ca="1" si="13"/>
        <v>68.364703197684733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1620895</v>
      </c>
      <c r="M22" s="42">
        <f t="shared" ca="1" si="18"/>
        <v>1236426</v>
      </c>
      <c r="N22" s="41">
        <f t="shared" ca="1" si="18"/>
        <v>826076.34</v>
      </c>
      <c r="O22" s="41">
        <f t="shared" ca="1" si="17"/>
        <v>50.964210513327515</v>
      </c>
      <c r="P22" s="41">
        <f t="shared" ca="1" si="13"/>
        <v>66.81162803111549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1379000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241895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60700</v>
      </c>
      <c r="M26" s="50">
        <f t="shared" ca="1" si="22"/>
        <v>60700</v>
      </c>
      <c r="N26" s="50">
        <f t="shared" ca="1" si="22"/>
        <v>60700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523070</v>
      </c>
      <c r="M28" s="23">
        <f t="shared" si="23"/>
        <v>0</v>
      </c>
      <c r="N28" s="23">
        <f t="shared" ca="1" si="23"/>
        <v>254477</v>
      </c>
      <c r="O28" s="22">
        <f t="shared" ref="O28:O30" ca="1" si="24">IF(L28&gt;0,N28*100/L28,0)</f>
        <v>48.650658611658095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523070</v>
      </c>
      <c r="M30" s="30">
        <f t="shared" si="27"/>
        <v>0</v>
      </c>
      <c r="N30" s="30">
        <f t="shared" ca="1" si="27"/>
        <v>254477</v>
      </c>
      <c r="O30" s="29">
        <f t="shared" ca="1" si="24"/>
        <v>48.650658611658095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523070</v>
      </c>
      <c r="M32" s="41">
        <f t="shared" si="30"/>
        <v>0</v>
      </c>
      <c r="N32" s="41">
        <f t="shared" ca="1" si="30"/>
        <v>254477</v>
      </c>
      <c r="O32" s="41">
        <f t="shared" ca="1" si="29"/>
        <v>48.650658611658095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523070</v>
      </c>
      <c r="M34" s="41">
        <f t="shared" si="32"/>
        <v>0</v>
      </c>
      <c r="N34" s="41">
        <f t="shared" ca="1" si="32"/>
        <v>254477</v>
      </c>
      <c r="O34" s="41">
        <f t="shared" ca="1" si="29"/>
        <v>48.650658611658095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1681595</v>
      </c>
      <c r="M37" s="55">
        <f t="shared" ca="1" si="33"/>
        <v>1297126</v>
      </c>
      <c r="N37" s="55">
        <f t="shared" ca="1" si="33"/>
        <v>886776.34</v>
      </c>
      <c r="O37" s="56">
        <f t="shared" ca="1" si="29"/>
        <v>52.734239813986129</v>
      </c>
      <c r="P37" s="56">
        <f t="shared" ca="1" si="25"/>
        <v>68.364703197684733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626400</v>
      </c>
      <c r="M41" s="79">
        <f t="shared" ca="1" si="34"/>
        <v>475500</v>
      </c>
      <c r="N41" s="79">
        <f t="shared" ca="1" si="34"/>
        <v>310034.75</v>
      </c>
      <c r="O41" s="78">
        <f t="shared" ref="O41:O43" ca="1" si="35">IF(L41&gt;0,N41*100/L41,0)</f>
        <v>49.494691890166031</v>
      </c>
      <c r="P41" s="78">
        <f t="shared" ref="P41:P43" ca="1" si="36">IF(M41&gt;0,N41*100/M41,0)</f>
        <v>65.201840168243947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626400</v>
      </c>
      <c r="M43" s="79">
        <f t="shared" ca="1" si="38"/>
        <v>475500</v>
      </c>
      <c r="N43" s="79">
        <f t="shared" ca="1" si="38"/>
        <v>310034.75</v>
      </c>
      <c r="O43" s="78">
        <f t="shared" ca="1" si="35"/>
        <v>49.494691890166031</v>
      </c>
      <c r="P43" s="78">
        <f t="shared" ca="1" si="36"/>
        <v>65.201840168243947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603500</v>
      </c>
      <c r="M45" s="91">
        <f ca="1">IFERROR(__xludf.DUMMYFUNCTION("IMPORTRANGE(""https://docs.google.com/spreadsheets/d/1Yj_ptqi66GCucihVvJfMjLAmec39IyEx_6qawtMGysU/edit?usp=sharing"",""สบก!Q89"")"),452600)</f>
        <v>452600</v>
      </c>
      <c r="N45" s="91">
        <f ca="1">IFERROR(__xludf.DUMMYFUNCTION("IMPORTRANGE(""https://docs.google.com/spreadsheets/d/1Yj_ptqi66GCucihVvJfMjLAmec39IyEx_6qawtMGysU/edit?usp=sharing"",""สบก!R89"")"),287134.75)</f>
        <v>287134.75</v>
      </c>
      <c r="O45" s="92">
        <f ca="1">IF(L45&gt;0,N45*100/L45,0)</f>
        <v>47.578251864125932</v>
      </c>
      <c r="P45" s="92">
        <f ca="1">IF(M45&gt;0,N45*100/M45,0)</f>
        <v>63.441173221387537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IFERROR(__xludf.DUMMYFUNCTION("IMPORTRANGE(""https://docs.google.com/spreadsheets/d/1Yj_ptqi66GCucihVvJfMjLAmec39IyEx_6qawtMGysU/edit?usp=sharing"",""สบก!M89"")"),603500)</f>
        <v>603500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IFERROR(__xludf.DUMMYFUNCTION("IMPORTRANGE(""https://docs.google.com/spreadsheets/d/1Yj_ptqi66GCucihVvJfMjLAmec39IyEx_6qawtMGysU/edit?usp=sharing"",""สบก!N89"")"),0)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IFERROR(__xludf.DUMMYFUNCTION("IMPORTRANGE(""https://docs.google.com/spreadsheets/d/1Yj_ptqi66GCucihVvJfMjLAmec39IyEx_6qawtMGysU/edit?usp=sharing"",""สบก!O89"")"),22900)</f>
        <v>22900</v>
      </c>
      <c r="M49" s="101">
        <f ca="1">L49</f>
        <v>22900</v>
      </c>
      <c r="N49" s="91">
        <f ca="1">IFERROR(__xludf.DUMMYFUNCTION("IMPORTRANGE(""https://docs.google.com/spreadsheets/d/1Yj_ptqi66GCucihVvJfMjLAmec39IyEx_6qawtMGysU/edit?usp=sharing"",""สบก!S89"")"),22900)</f>
        <v>22900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280000</v>
      </c>
      <c r="M53" s="125">
        <f t="shared" ca="1" si="39"/>
        <v>224589</v>
      </c>
      <c r="N53" s="125">
        <f t="shared" ca="1" si="39"/>
        <v>121548.87</v>
      </c>
      <c r="O53" s="124">
        <f t="shared" ref="O53:O55" ca="1" si="40">IF(L53&gt;0,N53*100/L53,0)</f>
        <v>43.410310714285714</v>
      </c>
      <c r="P53" s="124">
        <f t="shared" ref="P53:P55" ca="1" si="41">IF(M53&gt;0,N53*100/M53,0)</f>
        <v>54.120580259941491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280000</v>
      </c>
      <c r="M55" s="125">
        <f t="shared" ca="1" si="43"/>
        <v>224589</v>
      </c>
      <c r="N55" s="125">
        <f t="shared" ca="1" si="43"/>
        <v>121548.87</v>
      </c>
      <c r="O55" s="124">
        <f t="shared" ca="1" si="40"/>
        <v>43.410310714285714</v>
      </c>
      <c r="P55" s="124">
        <f t="shared" ca="1" si="41"/>
        <v>54.120580259941491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280000</v>
      </c>
      <c r="M57" s="91">
        <f ca="1">IFERROR(__xludf.DUMMYFUNCTION("IMPORTRANGE(""https://docs.google.com/spreadsheets/d/1Yj_ptqi66GCucihVvJfMjLAmec39IyEx_6qawtMGysU/edit?usp=sharing"",""สบก!Z89"")"),224589)</f>
        <v>224589</v>
      </c>
      <c r="N57" s="91">
        <f ca="1">IFERROR(__xludf.DUMMYFUNCTION("IMPORTRANGE(""https://docs.google.com/spreadsheets/d/1Yj_ptqi66GCucihVvJfMjLAmec39IyEx_6qawtMGysU/edit?usp=sharing"",""สบก!AA89"")"),121548.87)</f>
        <v>121548.87</v>
      </c>
      <c r="O57" s="92">
        <f ca="1">IF(L57&gt;0,N57*100/L57,0)</f>
        <v>43.410310714285714</v>
      </c>
      <c r="P57" s="92">
        <f ca="1">IF(M57&gt;0,N57*100/M57,0)</f>
        <v>54.120580259941491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IFERROR(__xludf.DUMMYFUNCTION("IMPORTRANGE(""https://docs.google.com/spreadsheets/d/1Yj_ptqi66GCucihVvJfMjLAmec39IyEx_6qawtMGysU/edit?usp=sharing"",""สบก!V89"")"),280000)</f>
        <v>280000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IFERROR(__xludf.DUMMYFUNCTION("IMPORTRANGE(""https://docs.google.com/spreadsheets/d/1Yj_ptqi66GCucihVvJfMjLAmec39IyEx_6qawtMGysU/edit?usp=sharing"",""สบก!W89"")"),0)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IFERROR(__xludf.DUMMYFUNCTION("IMPORTRANGE(""https://docs.google.com/spreadsheets/d/1Yj_ptqi66GCucihVvJfMjLAmec39IyEx_6qawtMGysU/edit?usp=sharing"",""สบก!X89"")"),0)</f>
        <v>0</v>
      </c>
      <c r="M61" s="101"/>
      <c r="N61" s="91">
        <f ca="1">IFERROR(__xludf.DUMMYFUNCTION("IMPORTRANGE(""https://docs.google.com/spreadsheets/d/1Yj_ptqi66GCucihVvJfMjLAmec39IyEx_6qawtMGysU/edit?usp=sharing"",""สบก!AB89"")"),0)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IFERROR(__xludf.DUMMYFUNCTION("IMPORTRANGE(""https://docs.google.com/spreadsheets/d/1IYY_tgx_IHuhSq3AJ5eI5OnqOPBNLWSHKh2a30DoXe8/edit?usp=sharing"",""ภูเก็ต!I9"")"),0)</f>
        <v>0</v>
      </c>
      <c r="J64" s="146">
        <f ca="1">IFERROR(__xludf.DUMMYFUNCTION("IMPORTRANGE(""https://docs.google.com/spreadsheets/d/1IYY_tgx_IHuhSq3AJ5eI5OnqOPBNLWSHKh2a30DoXe8/edit?usp=sharing"",""ภูเก็ต!J9"")"),0)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IFERROR(__xludf.DUMMYFUNCTION("IMPORTRANGE(""https://docs.google.com/spreadsheets/d/1IYY_tgx_IHuhSq3AJ5eI5OnqOPBNLWSHKh2a30DoXe8/edit?usp=sharing"",""ภูเก็ต!I10"")"),0)</f>
        <v>0</v>
      </c>
      <c r="J65" s="146">
        <f ca="1">IFERROR(__xludf.DUMMYFUNCTION("IMPORTRANGE(""https://docs.google.com/spreadsheets/d/1IYY_tgx_IHuhSq3AJ5eI5OnqOPBNLWSHKh2a30DoXe8/edit?usp=sharing"",""ภูเก็ต!J10"")"),0)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IFERROR(__xludf.DUMMYFUNCTION("IMPORTRANGE(""https://docs.google.com/spreadsheets/d/1Yj_ptqi66GCucihVvJfMjLAmec39IyEx_6qawtMGysU/edit?usp=sharing"",""สบก!AI89"")"),0)</f>
        <v>0</v>
      </c>
      <c r="N70" s="174">
        <f ca="1">IFERROR(__xludf.DUMMYFUNCTION("IMPORTRANGE(""https://docs.google.com/spreadsheets/d/1Yj_ptqi66GCucihVvJfMjLAmec39IyEx_6qawtMGysU/edit?usp=sharing"",""สบก!AJ89"")"),0)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IFERROR(__xludf.DUMMYFUNCTION("IMPORTRANGE(""https://docs.google.com/spreadsheets/d/1Yj_ptqi66GCucihVvJfMjLAmec39IyEx_6qawtMGysU/edit?usp=sharing"",""สบก!AE89"")"),0)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IFERROR(__xludf.DUMMYFUNCTION("IMPORTRANGE(""https://docs.google.com/spreadsheets/d/1Yj_ptqi66GCucihVvJfMjLAmec39IyEx_6qawtMGysU/edit?usp=sharing"",""สบก!AF89"")"),0)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IFERROR(__xludf.DUMMYFUNCTION("IMPORTRANGE(""https://docs.google.com/spreadsheets/d/1Yj_ptqi66GCucihVvJfMjLAmec39IyEx_6qawtMGysU/edit?usp=sharing"",""สบก!AG89"")"),0)</f>
        <v>0</v>
      </c>
      <c r="M74" s="101"/>
      <c r="N74" s="91">
        <f ca="1">IFERROR(__xludf.DUMMYFUNCTION("IMPORTRANGE(""https://docs.google.com/spreadsheets/d/1Yj_ptqi66GCucihVvJfMjLAmec39IyEx_6qawtMGysU/edit?usp=sharing"",""สบก!AK89"")"),0)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IFERROR(__xludf.DUMMYFUNCTION("IMPORTRANGE(""https://docs.google.com/spreadsheets/d/1IYY_tgx_IHuhSq3AJ5eI5OnqOPBNLWSHKh2a30DoXe8/edit?usp=sharing"",""ภูเก็ต!J16"")"),0)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IFERROR(__xludf.DUMMYFUNCTION("IMPORTRANGE(""https://docs.google.com/spreadsheets/d/1IYY_tgx_IHuhSq3AJ5eI5OnqOPBNLWSHKh2a30DoXe8/edit?usp=sharing"",""ภูเก็ต!J17"")"),0)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IFERROR(__xludf.DUMMYFUNCTION("IMPORTRANGE(""https://docs.google.com/spreadsheets/d/1IYY_tgx_IHuhSq3AJ5eI5OnqOPBNLWSHKh2a30DoXe8/edit?usp=sharing"",""ภูเก็ต!J18"")"),0)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IFERROR(__xludf.DUMMYFUNCTION("IMPORTRANGE(""https://docs.google.com/spreadsheets/d/1IYY_tgx_IHuhSq3AJ5eI5OnqOPBNLWSHKh2a30DoXe8/edit?usp=sharing"",""ภูเก็ต!J19"")"),0)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IFERROR(__xludf.DUMMYFUNCTION("IMPORTRANGE(""https://docs.google.com/spreadsheets/d/1IYY_tgx_IHuhSq3AJ5eI5OnqOPBNLWSHKh2a30DoXe8/edit?usp=sharing"",""ภูเก็ต!I20"")"),0)</f>
        <v>0</v>
      </c>
      <c r="J80" s="207">
        <f ca="1">IFERROR(__xludf.DUMMYFUNCTION("IMPORTRANGE(""https://docs.google.com/spreadsheets/d/1IYY_tgx_IHuhSq3AJ5eI5OnqOPBNLWSHKh2a30DoXe8/edit?usp=sharing"",""ภูเก็ต!J20"")"),0)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IFERROR(__xludf.DUMMYFUNCTION("IMPORTRANGE(""https://docs.google.com/spreadsheets/d/1IYY_tgx_IHuhSq3AJ5eI5OnqOPBNLWSHKh2a30DoXe8/edit?usp=sharing"",""ภูเก็ต!I21"")"),0)</f>
        <v>0</v>
      </c>
      <c r="J81" s="207">
        <f ca="1">IFERROR(__xludf.DUMMYFUNCTION("IMPORTRANGE(""https://docs.google.com/spreadsheets/d/1IYY_tgx_IHuhSq3AJ5eI5OnqOPBNLWSHKh2a30DoXe8/edit?usp=sharing"",""ภูเก็ต!J21"")"),0)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IFERROR(__xludf.DUMMYFUNCTION("IMPORTRANGE(""https://docs.google.com/spreadsheets/d/1IYY_tgx_IHuhSq3AJ5eI5OnqOPBNLWSHKh2a30DoXe8/edit?usp=sharing"",""ภูเก็ต!I22"")"),0)</f>
        <v>0</v>
      </c>
      <c r="J82" s="210">
        <f ca="1">IFERROR(__xludf.DUMMYFUNCTION("IMPORTRANGE(""https://docs.google.com/spreadsheets/d/1IYY_tgx_IHuhSq3AJ5eI5OnqOPBNLWSHKh2a30DoXe8/edit?usp=sharing"",""ภูเก็ต!J22"")"),0)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IFERROR(__xludf.DUMMYFUNCTION("IMPORTRANGE(""https://docs.google.com/spreadsheets/d/1IYY_tgx_IHuhSq3AJ5eI5OnqOPBNLWSHKh2a30DoXe8/edit?usp=sharing"",""ภูเก็ต!I23"")"),0)</f>
        <v>0</v>
      </c>
      <c r="J83" s="210">
        <f ca="1">IFERROR(__xludf.DUMMYFUNCTION("IMPORTRANGE(""https://docs.google.com/spreadsheets/d/1IYY_tgx_IHuhSq3AJ5eI5OnqOPBNLWSHKh2a30DoXe8/edit?usp=sharing"",""ภูเก็ต!J23"")"),0)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IFERROR(__xludf.DUMMYFUNCTION("IMPORTRANGE(""https://docs.google.com/spreadsheets/d/1IYY_tgx_IHuhSq3AJ5eI5OnqOPBNLWSHKh2a30DoXe8/edit?usp=sharing"",""ภูเก็ต!I24"")"),0)</f>
        <v>0</v>
      </c>
      <c r="J84" s="195">
        <f ca="1">IFERROR(__xludf.DUMMYFUNCTION("IMPORTRANGE(""https://docs.google.com/spreadsheets/d/1IYY_tgx_IHuhSq3AJ5eI5OnqOPBNLWSHKh2a30DoXe8/edit?usp=sharing"",""ภูเก็ต!J24"")"),0)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IFERROR(__xludf.DUMMYFUNCTION("IMPORTRANGE(""https://docs.google.com/spreadsheets/d/1IYY_tgx_IHuhSq3AJ5eI5OnqOPBNLWSHKh2a30DoXe8/edit?usp=sharing"",""ภูเก็ต!I25"")"),0)</f>
        <v>0</v>
      </c>
      <c r="J85" s="195">
        <f ca="1">IFERROR(__xludf.DUMMYFUNCTION("IMPORTRANGE(""https://docs.google.com/spreadsheets/d/1IYY_tgx_IHuhSq3AJ5eI5OnqOPBNLWSHKh2a30DoXe8/edit?usp=sharing"",""ภูเก็ต!J25"")"),0)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IFERROR(__xludf.DUMMYFUNCTION("IMPORTRANGE(""https://docs.google.com/spreadsheets/d/1IYY_tgx_IHuhSq3AJ5eI5OnqOPBNLWSHKh2a30DoXe8/edit?usp=sharing"",""ภูเก็ต!I26"")"),0)</f>
        <v>0</v>
      </c>
      <c r="J86" s="210">
        <f ca="1">IFERROR(__xludf.DUMMYFUNCTION("IMPORTRANGE(""https://docs.google.com/spreadsheets/d/1IYY_tgx_IHuhSq3AJ5eI5OnqOPBNLWSHKh2a30DoXe8/edit?usp=sharing"",""ภูเก็ต!J26"")"),0)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IFERROR(__xludf.DUMMYFUNCTION("IMPORTRANGE(""https://docs.google.com/spreadsheets/d/1IYY_tgx_IHuhSq3AJ5eI5OnqOPBNLWSHKh2a30DoXe8/edit?usp=sharing"",""ภูเก็ต!I27"")"),0)</f>
        <v>0</v>
      </c>
      <c r="J87" s="210">
        <f ca="1">IFERROR(__xludf.DUMMYFUNCTION("IMPORTRANGE(""https://docs.google.com/spreadsheets/d/1IYY_tgx_IHuhSq3AJ5eI5OnqOPBNLWSHKh2a30DoXe8/edit?usp=sharing"",""ภูเก็ต!J27"")"),0)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IFERROR(__xludf.DUMMYFUNCTION("IMPORTRANGE(""https://docs.google.com/spreadsheets/d/1IYY_tgx_IHuhSq3AJ5eI5OnqOPBNLWSHKh2a30DoXe8/edit?usp=sharing"",""ภูเก็ต!I28"")"),0)</f>
        <v>0</v>
      </c>
      <c r="J88" s="210">
        <f ca="1">IFERROR(__xludf.DUMMYFUNCTION("IMPORTRANGE(""https://docs.google.com/spreadsheets/d/1IYY_tgx_IHuhSq3AJ5eI5OnqOPBNLWSHKh2a30DoXe8/edit?usp=sharing"",""ภูเก็ต!J28"")"),0)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IFERROR(__xludf.DUMMYFUNCTION("IMPORTRANGE(""https://docs.google.com/spreadsheets/d/1IYY_tgx_IHuhSq3AJ5eI5OnqOPBNLWSHKh2a30DoXe8/edit?usp=sharing"",""ภูเก็ต!J29"")"),0)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IFERROR(__xludf.DUMMYFUNCTION("IMPORTRANGE(""https://docs.google.com/spreadsheets/d/1IYY_tgx_IHuhSq3AJ5eI5OnqOPBNLWSHKh2a30DoXe8/edit?usp=sharing"",""ภูเก็ต!J30"")"),0)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IFERROR(__xludf.DUMMYFUNCTION("IMPORTRANGE(""https://docs.google.com/spreadsheets/d/1IYY_tgx_IHuhSq3AJ5eI5OnqOPBNLWSHKh2a30DoXe8/edit?usp=sharing"",""ภูเก็ต!I32"")"),0)</f>
        <v>0</v>
      </c>
      <c r="J92" s="146">
        <f ca="1">IFERROR(__xludf.DUMMYFUNCTION("IMPORTRANGE(""https://docs.google.com/spreadsheets/d/1IYY_tgx_IHuhSq3AJ5eI5OnqOPBNLWSHKh2a30DoXe8/edit?usp=sharing"",""ภูเก็ต!J32"")"),0)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IFERROR(__xludf.DUMMYFUNCTION("IMPORTRANGE(""https://docs.google.com/spreadsheets/d/1IYY_tgx_IHuhSq3AJ5eI5OnqOPBNLWSHKh2a30DoXe8/edit?usp=sharing"",""ภูเก็ต!I33"")"),0)</f>
        <v>0</v>
      </c>
      <c r="J93" s="146">
        <f ca="1">IFERROR(__xludf.DUMMYFUNCTION("IMPORTRANGE(""https://docs.google.com/spreadsheets/d/1IYY_tgx_IHuhSq3AJ5eI5OnqOPBNLWSHKh2a30DoXe8/edit?usp=sharing"",""ภูเก็ต!J33"")"),0)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35">
      <c r="A97" s="162"/>
      <c r="B97" s="163"/>
      <c r="C97" s="163" t="s">
        <v>16</v>
      </c>
      <c r="D97" s="284" t="s">
        <v>77</v>
      </c>
      <c r="E97" s="171"/>
      <c r="F97" s="171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IFERROR(__xludf.DUMMYFUNCTION("IMPORTRANGE(""https://docs.google.com/spreadsheets/d/1Yj_ptqi66GCucihVvJfMjLAmec39IyEx_6qawtMGysU/edit?usp=sharing"",""สบก!AR89"")"),0)</f>
        <v>0</v>
      </c>
      <c r="N98" s="174">
        <f ca="1">IFERROR(__xludf.DUMMYFUNCTION("IMPORTRANGE(""https://docs.google.com/spreadsheets/d/1Yj_ptqi66GCucihVvJfMjLAmec39IyEx_6qawtMGysU/edit?usp=sharing"",""สบก!AS89"")"),0)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IFERROR(__xludf.DUMMYFUNCTION("IMPORTRANGE(""https://docs.google.com/spreadsheets/d/1Yj_ptqi66GCucihVvJfMjLAmec39IyEx_6qawtMGysU/edit?usp=sharing"",""สบก!AN89"")"),0)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IFERROR(__xludf.DUMMYFUNCTION("IMPORTRANGE(""https://docs.google.com/spreadsheets/d/1Yj_ptqi66GCucihVvJfMjLAmec39IyEx_6qawtMGysU/edit?usp=sharing"",""สบก!AO89"")"),0)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IFERROR(__xludf.DUMMYFUNCTION("IMPORTRANGE(""https://docs.google.com/spreadsheets/d/1Yj_ptqi66GCucihVvJfMjLAmec39IyEx_6qawtMGysU/edit?usp=sharing"",""สบก!AP89"")"),0)</f>
        <v>0</v>
      </c>
      <c r="M102" s="101"/>
      <c r="N102" s="91">
        <f ca="1">IFERROR(__xludf.DUMMYFUNCTION("IMPORTRANGE(""https://docs.google.com/spreadsheets/d/1Yj_ptqi66GCucihVvJfMjLAmec39IyEx_6qawtMGysU/edit?usp=sharing"",""สบก!AT89"")"),0)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IFERROR(__xludf.DUMMYFUNCTION("IMPORTRANGE(""https://docs.google.com/spreadsheets/d/1IYY_tgx_IHuhSq3AJ5eI5OnqOPBNLWSHKh2a30DoXe8/edit?usp=sharing"",""ภูเก็ต!J39"")"),0)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IFERROR(__xludf.DUMMYFUNCTION("IMPORTRANGE(""https://docs.google.com/spreadsheets/d/1IYY_tgx_IHuhSq3AJ5eI5OnqOPBNLWSHKh2a30DoXe8/edit?usp=sharing"",""ภูเก็ต!J40"")"),0)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IFERROR(__xludf.DUMMYFUNCTION("IMPORTRANGE(""https://docs.google.com/spreadsheets/d/1IYY_tgx_IHuhSq3AJ5eI5OnqOPBNLWSHKh2a30DoXe8/edit?usp=sharing"",""ภูเก็ต!J41"")"),0)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IFERROR(__xludf.DUMMYFUNCTION("IMPORTRANGE(""https://docs.google.com/spreadsheets/d/1IYY_tgx_IHuhSq3AJ5eI5OnqOPBNLWSHKh2a30DoXe8/edit?usp=sharing"",""ภูเก็ต!J42"")"),0)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IFERROR(__xludf.DUMMYFUNCTION("IMPORTRANGE(""https://docs.google.com/spreadsheets/d/1IYY_tgx_IHuhSq3AJ5eI5OnqOPBNLWSHKh2a30DoXe8/edit?usp=sharing"",""ภูเก็ต!I43"")"),0)</f>
        <v>0</v>
      </c>
      <c r="J108" s="210">
        <f ca="1">IFERROR(__xludf.DUMMYFUNCTION("IMPORTRANGE(""https://docs.google.com/spreadsheets/d/1IYY_tgx_IHuhSq3AJ5eI5OnqOPBNLWSHKh2a30DoXe8/edit?usp=sharing"",""ภูเก็ต!J43"")"),0)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IFERROR(__xludf.DUMMYFUNCTION("IMPORTRANGE(""https://docs.google.com/spreadsheets/d/1IYY_tgx_IHuhSq3AJ5eI5OnqOPBNLWSHKh2a30DoXe8/edit?usp=sharing"",""ภูเก็ต!I44"")"),0)</f>
        <v>0</v>
      </c>
      <c r="J109" s="210">
        <f ca="1">IFERROR(__xludf.DUMMYFUNCTION("IMPORTRANGE(""https://docs.google.com/spreadsheets/d/1IYY_tgx_IHuhSq3AJ5eI5OnqOPBNLWSHKh2a30DoXe8/edit?usp=sharing"",""ภูเก็ต!J44"")"),0)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IFERROR(__xludf.DUMMYFUNCTION("IMPORTRANGE(""https://docs.google.com/spreadsheets/d/1IYY_tgx_IHuhSq3AJ5eI5OnqOPBNLWSHKh2a30DoXe8/edit?usp=sharing"",""ภูเก็ต!I45"")"),0)</f>
        <v>0</v>
      </c>
      <c r="J110" s="210">
        <f ca="1">IFERROR(__xludf.DUMMYFUNCTION("IMPORTRANGE(""https://docs.google.com/spreadsheets/d/1IYY_tgx_IHuhSq3AJ5eI5OnqOPBNLWSHKh2a30DoXe8/edit?usp=sharing"",""ภูเก็ต!J45"")"),0)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IFERROR(__xludf.DUMMYFUNCTION("IMPORTRANGE(""https://docs.google.com/spreadsheets/d/1IYY_tgx_IHuhSq3AJ5eI5OnqOPBNLWSHKh2a30DoXe8/edit?usp=sharing"",""ภูเก็ต!I46"")"),0)</f>
        <v>0</v>
      </c>
      <c r="J111" s="210">
        <f ca="1">IFERROR(__xludf.DUMMYFUNCTION("IMPORTRANGE(""https://docs.google.com/spreadsheets/d/1IYY_tgx_IHuhSq3AJ5eI5OnqOPBNLWSHKh2a30DoXe8/edit?usp=sharing"",""ภูเก็ต!J46"")"),0)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IFERROR(__xludf.DUMMYFUNCTION("IMPORTRANGE(""https://docs.google.com/spreadsheets/d/1IYY_tgx_IHuhSq3AJ5eI5OnqOPBNLWSHKh2a30DoXe8/edit?usp=sharing"",""ภูเก็ต!I47"")"),0)</f>
        <v>0</v>
      </c>
      <c r="J112" s="210">
        <f ca="1">IFERROR(__xludf.DUMMYFUNCTION("IMPORTRANGE(""https://docs.google.com/spreadsheets/d/1IYY_tgx_IHuhSq3AJ5eI5OnqOPBNLWSHKh2a30DoXe8/edit?usp=sharing"",""ภูเก็ต!J47"")"),0)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IFERROR(__xludf.DUMMYFUNCTION("IMPORTRANGE(""https://docs.google.com/spreadsheets/d/1IYY_tgx_IHuhSq3AJ5eI5OnqOPBNLWSHKh2a30DoXe8/edit?usp=sharing"",""ภูเก็ต!I48"")"),0)</f>
        <v>0</v>
      </c>
      <c r="J113" s="210">
        <f ca="1">IFERROR(__xludf.DUMMYFUNCTION("IMPORTRANGE(""https://docs.google.com/spreadsheets/d/1IYY_tgx_IHuhSq3AJ5eI5OnqOPBNLWSHKh2a30DoXe8/edit?usp=sharing"",""ภูเก็ต!J48"")"),0)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IFERROR(__xludf.DUMMYFUNCTION("IMPORTRANGE(""https://docs.google.com/spreadsheets/d/1IYY_tgx_IHuhSq3AJ5eI5OnqOPBNLWSHKh2a30DoXe8/edit?usp=sharing"",""ภูเก็ต!J49"")"),0)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IFERROR(__xludf.DUMMYFUNCTION("IMPORTRANGE(""https://docs.google.com/spreadsheets/d/1IYY_tgx_IHuhSq3AJ5eI5OnqOPBNLWSHKh2a30DoXe8/edit?usp=sharing"",""ภูเก็ต!J50"")"),0)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IFERROR(__xludf.DUMMYFUNCTION("IMPORTRANGE(""https://docs.google.com/spreadsheets/d/1IYY_tgx_IHuhSq3AJ5eI5OnqOPBNLWSHKh2a30DoXe8/edit?usp=sharing"",""ภูเก็ต!I52"")"),0)</f>
        <v>0</v>
      </c>
      <c r="J117" s="146">
        <f ca="1">IFERROR(__xludf.DUMMYFUNCTION("IMPORTRANGE(""https://docs.google.com/spreadsheets/d/1IYY_tgx_IHuhSq3AJ5eI5OnqOPBNLWSHKh2a30DoXe8/edit?usp=sharing"",""ภูเก็ต!J52"")"),0)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IFERROR(__xludf.DUMMYFUNCTION("IMPORTRANGE(""https://docs.google.com/spreadsheets/d/1Yj_ptqi66GCucihVvJfMjLAmec39IyEx_6qawtMGysU/edit?usp=sharing"",""สบก!BA89"")"),0)</f>
        <v>0</v>
      </c>
      <c r="N122" s="174">
        <f ca="1">IFERROR(__xludf.DUMMYFUNCTION("IMPORTRANGE(""https://docs.google.com/spreadsheets/d/1Yj_ptqi66GCucihVvJfMjLAmec39IyEx_6qawtMGysU/edit?usp=sharing"",""สบก!BB89"")"),0)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IFERROR(__xludf.DUMMYFUNCTION("IMPORTRANGE(""https://docs.google.com/spreadsheets/d/1Yj_ptqi66GCucihVvJfMjLAmec39IyEx_6qawtMGysU/edit?usp=sharing"",""สบก!AW89"")"),0)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IFERROR(__xludf.DUMMYFUNCTION("IMPORTRANGE(""https://docs.google.com/spreadsheets/d/1Yj_ptqi66GCucihVvJfMjLAmec39IyEx_6qawtMGysU/edit?usp=sharing"",""สบก!AX89"")"),0)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IFERROR(__xludf.DUMMYFUNCTION("IMPORTRANGE(""https://docs.google.com/spreadsheets/d/1Yj_ptqi66GCucihVvJfMjLAmec39IyEx_6qawtMGysU/edit?usp=sharing"",""สบก!AY89"")"),0)</f>
        <v>0</v>
      </c>
      <c r="M126" s="101"/>
      <c r="N126" s="91">
        <f ca="1">IFERROR(__xludf.DUMMYFUNCTION("IMPORTRANGE(""https://docs.google.com/spreadsheets/d/1Yj_ptqi66GCucihVvJfMjLAmec39IyEx_6qawtMGysU/edit?usp=sharing"",""สบก!BC89"")"),0)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IFERROR(__xludf.DUMMYFUNCTION("IMPORTRANGE(""https://docs.google.com/spreadsheets/d/1IYY_tgx_IHuhSq3AJ5eI5OnqOPBNLWSHKh2a30DoXe8/edit?usp=sharing"",""ภูเก็ต!J58"")"),0)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IFERROR(__xludf.DUMMYFUNCTION("IMPORTRANGE(""https://docs.google.com/spreadsheets/d/1IYY_tgx_IHuhSq3AJ5eI5OnqOPBNLWSHKh2a30DoXe8/edit?usp=sharing"",""ภูเก็ต!J59"")"),0)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IFERROR(__xludf.DUMMYFUNCTION("IMPORTRANGE(""https://docs.google.com/spreadsheets/d/1IYY_tgx_IHuhSq3AJ5eI5OnqOPBNLWSHKh2a30DoXe8/edit?usp=sharing"",""ภูเก็ต!J60"")"),0)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IFERROR(__xludf.DUMMYFUNCTION("IMPORTRANGE(""https://docs.google.com/spreadsheets/d/1IYY_tgx_IHuhSq3AJ5eI5OnqOPBNLWSHKh2a30DoXe8/edit?usp=sharing"",""ภูเก็ต!J61"")"),0)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IFERROR(__xludf.DUMMYFUNCTION("IMPORTRANGE(""https://docs.google.com/spreadsheets/d/1IYY_tgx_IHuhSq3AJ5eI5OnqOPBNLWSHKh2a30DoXe8/edit?usp=sharing"",""ภูเก็ต!I62"")"),0)</f>
        <v>0</v>
      </c>
      <c r="J132" s="210">
        <f ca="1">IFERROR(__xludf.DUMMYFUNCTION("IMPORTRANGE(""https://docs.google.com/spreadsheets/d/1IYY_tgx_IHuhSq3AJ5eI5OnqOPBNLWSHKh2a30DoXe8/edit?usp=sharing"",""ภูเก็ต!J62"")"),0)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IFERROR(__xludf.DUMMYFUNCTION("IMPORTRANGE(""https://docs.google.com/spreadsheets/d/1IYY_tgx_IHuhSq3AJ5eI5OnqOPBNLWSHKh2a30DoXe8/edit?usp=sharing"",""ภูเก็ต!I63"")"),0)</f>
        <v>0</v>
      </c>
      <c r="J133" s="210">
        <f ca="1">IFERROR(__xludf.DUMMYFUNCTION("IMPORTRANGE(""https://docs.google.com/spreadsheets/d/1IYY_tgx_IHuhSq3AJ5eI5OnqOPBNLWSHKh2a30DoXe8/edit?usp=sharing"",""ภูเก็ต!J63"")"),0)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IFERROR(__xludf.DUMMYFUNCTION("IMPORTRANGE(""https://docs.google.com/spreadsheets/d/1IYY_tgx_IHuhSq3AJ5eI5OnqOPBNLWSHKh2a30DoXe8/edit?usp=sharing"",""ภูเก็ต!J64"")"),0)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IFERROR(__xludf.DUMMYFUNCTION("IMPORTRANGE(""https://docs.google.com/spreadsheets/d/1IYY_tgx_IHuhSq3AJ5eI5OnqOPBNLWSHKh2a30DoXe8/edit?usp=sharing"",""ภูเก็ต!J65"")"),0)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IFERROR(__xludf.DUMMYFUNCTION("IMPORTRANGE(""https://docs.google.com/spreadsheets/d/1IYY_tgx_IHuhSq3AJ5eI5OnqOPBNLWSHKh2a30DoXe8/edit?usp=sharing"",""ภูเก็ต!I68"")"),0)</f>
        <v>0</v>
      </c>
      <c r="J138" s="273">
        <f ca="1">IFERROR(__xludf.DUMMYFUNCTION("IMPORTRANGE(""https://docs.google.com/spreadsheets/d/1IYY_tgx_IHuhSq3AJ5eI5OnqOPBNLWSHKh2a30DoXe8/edit?usp=sharing"",""ภูเก็ต!J68"")"),0)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21500</v>
      </c>
      <c r="M140" s="156">
        <f t="shared" ca="1" si="64"/>
        <v>25312</v>
      </c>
      <c r="N140" s="156">
        <f t="shared" ca="1" si="64"/>
        <v>22767</v>
      </c>
      <c r="O140" s="155">
        <f t="shared" ref="O140:O142" ca="1" si="65">IF(L140&gt;0,N140*100/L140,0)</f>
        <v>105.89302325581396</v>
      </c>
      <c r="P140" s="155">
        <f t="shared" ref="P140:P142" ca="1" si="66">IF(M140&gt;0,N140*100/M140,0)</f>
        <v>89.945480404551205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21500</v>
      </c>
      <c r="M142" s="161">
        <f t="shared" ca="1" si="68"/>
        <v>25312</v>
      </c>
      <c r="N142" s="161">
        <f t="shared" ca="1" si="68"/>
        <v>22767</v>
      </c>
      <c r="O142" s="160">
        <f t="shared" ca="1" si="65"/>
        <v>105.89302325581396</v>
      </c>
      <c r="P142" s="160">
        <f t="shared" ca="1" si="66"/>
        <v>89.945480404551205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21500</v>
      </c>
      <c r="M144" s="173">
        <f ca="1">IFERROR(__xludf.DUMMYFUNCTION("IMPORTRANGE(""https://docs.google.com/spreadsheets/d/1Yj_ptqi66GCucihVvJfMjLAmec39IyEx_6qawtMGysU/edit?usp=sharing"",""สบก!BJ89"")"),25312)</f>
        <v>25312</v>
      </c>
      <c r="N144" s="174">
        <f ca="1">IFERROR(__xludf.DUMMYFUNCTION("IMPORTRANGE(""https://docs.google.com/spreadsheets/d/1Yj_ptqi66GCucihVvJfMjLAmec39IyEx_6qawtMGysU/edit?usp=sharing"",""สบก!BK89"")"),22767)</f>
        <v>22767</v>
      </c>
      <c r="O144" s="175">
        <f ca="1">IF(L144&gt;0,N144*100/L144,0)</f>
        <v>105.89302325581396</v>
      </c>
      <c r="P144" s="175">
        <f ca="1">IF(M144&gt;0,N144*100/M144,0)</f>
        <v>89.945480404551205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IFERROR(__xludf.DUMMYFUNCTION("IMPORTRANGE(""https://docs.google.com/spreadsheets/d/1Yj_ptqi66GCucihVvJfMjLAmec39IyEx_6qawtMGysU/edit?usp=sharing"",""สบก!BF89"")"),0)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IFERROR(__xludf.DUMMYFUNCTION("IMPORTRANGE(""https://docs.google.com/spreadsheets/d/1Yj_ptqi66GCucihVvJfMjLAmec39IyEx_6qawtMGysU/edit?usp=sharing"",""สบก!BG89"")"),21500)</f>
        <v>21500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IFERROR(__xludf.DUMMYFUNCTION("IMPORTRANGE(""https://docs.google.com/spreadsheets/d/1Yj_ptqi66GCucihVvJfMjLAmec39IyEx_6qawtMGysU/edit?usp=sharing"",""สบก!BH89"")"),0)</f>
        <v>0</v>
      </c>
      <c r="M148" s="101"/>
      <c r="N148" s="91">
        <f ca="1">IFERROR(__xludf.DUMMYFUNCTION("IMPORTRANGE(""https://docs.google.com/spreadsheets/d/1Yj_ptqi66GCucihVvJfMjLAmec39IyEx_6qawtMGysU/edit?usp=sharing"",""สบก!BL89"")"),0)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IFERROR(__xludf.DUMMYFUNCTION("IMPORTRANGE(""https://docs.google.com/spreadsheets/d/1IYY_tgx_IHuhSq3AJ5eI5OnqOPBNLWSHKh2a30DoXe8/edit?usp=sharing"",""ภูเก็ต!I74"")"),4)</f>
        <v>4</v>
      </c>
      <c r="J149" s="281">
        <f ca="1">IFERROR(__xludf.DUMMYFUNCTION("IMPORTRANGE(""https://docs.google.com/spreadsheets/d/1IYY_tgx_IHuhSq3AJ5eI5OnqOPBNLWSHKh2a30DoXe8/edit?usp=sharing"",""ภูเก็ต!J74"")"),2)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IFERROR(__xludf.DUMMYFUNCTION("IMPORTRANGE(""https://docs.google.com/spreadsheets/d/1IYY_tgx_IHuhSq3AJ5eI5OnqOPBNLWSHKh2a30DoXe8/edit?usp=sharing"",""ภูเก็ต!J79"")"),0)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IFERROR(__xludf.DUMMYFUNCTION("IMPORTRANGE(""https://docs.google.com/spreadsheets/d/1IYY_tgx_IHuhSq3AJ5eI5OnqOPBNLWSHKh2a30DoXe8/edit?usp=sharing"",""ภูเก็ต!J80"")"),1)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IFERROR(__xludf.DUMMYFUNCTION("IMPORTRANGE(""https://docs.google.com/spreadsheets/d/1IYY_tgx_IHuhSq3AJ5eI5OnqOPBNLWSHKh2a30DoXe8/edit?usp=sharing"",""ภูเก็ต!J81"")"),1)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IFERROR(__xludf.DUMMYFUNCTION("IMPORTRANGE(""https://docs.google.com/spreadsheets/d/1IYY_tgx_IHuhSq3AJ5eI5OnqOPBNLWSHKh2a30DoXe8/edit?usp=sharing"",""ภูเก็ต!J82"")"),1)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IFERROR(__xludf.DUMMYFUNCTION("IMPORTRANGE(""https://docs.google.com/spreadsheets/d/1IYY_tgx_IHuhSq3AJ5eI5OnqOPBNLWSHKh2a30DoXe8/edit?usp=sharing"",""ภูเก็ต!I83"")"),4)</f>
        <v>4</v>
      </c>
      <c r="J158" s="195">
        <f ca="1">IFERROR(__xludf.DUMMYFUNCTION("IMPORTRANGE(""https://docs.google.com/spreadsheets/d/1IYY_tgx_IHuhSq3AJ5eI5OnqOPBNLWSHKh2a30DoXe8/edit?usp=sharing"",""ภูเก็ต!J83"")"),2)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IFERROR(__xludf.DUMMYFUNCTION("IMPORTRANGE(""https://docs.google.com/spreadsheets/d/1IYY_tgx_IHuhSq3AJ5eI5OnqOPBNLWSHKh2a30DoXe8/edit?usp=sharing"",""ภูเก็ต!J84"")"),89)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IFERROR(__xludf.DUMMYFUNCTION("IMPORTRANGE(""https://docs.google.com/spreadsheets/d/1IYY_tgx_IHuhSq3AJ5eI5OnqOPBNLWSHKh2a30DoXe8/edit?usp=sharing"",""ภูเก็ต!J85"")"),89)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IFERROR(__xludf.DUMMYFUNCTION("IMPORTRANGE(""https://docs.google.com/spreadsheets/d/1IYY_tgx_IHuhSq3AJ5eI5OnqOPBNLWSHKh2a30DoXe8/edit?usp=sharing"",""ภูเก็ต!J86"")"),0)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IFERROR(__xludf.DUMMYFUNCTION("IMPORTRANGE(""https://docs.google.com/spreadsheets/d/1IYY_tgx_IHuhSq3AJ5eI5OnqOPBNLWSHKh2a30DoXe8/edit?usp=sharing"",""ภูเก็ต!J87"")"),0)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IFERROR(__xludf.DUMMYFUNCTION("IMPORTRANGE(""https://docs.google.com/spreadsheets/d/1IYY_tgx_IHuhSq3AJ5eI5OnqOPBNLWSHKh2a30DoXe8/edit?usp=sharing"",""ภูเก็ต!J88"")"),0)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IFERROR(__xludf.DUMMYFUNCTION("IMPORTRANGE(""https://docs.google.com/spreadsheets/d/1IYY_tgx_IHuhSq3AJ5eI5OnqOPBNLWSHKh2a30DoXe8/edit?usp=sharing"",""ภูเก็ต!I89"")"),1)</f>
        <v>1</v>
      </c>
      <c r="J164" s="290">
        <f ca="1">IFERROR(__xludf.DUMMYFUNCTION("IMPORTRANGE(""https://docs.google.com/spreadsheets/d/1IYY_tgx_IHuhSq3AJ5eI5OnqOPBNLWSHKh2a30DoXe8/edit?usp=sharing"",""ภูเก็ต!J89"")"),1)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IFERROR(__xludf.DUMMYFUNCTION("IMPORTRANGE(""https://docs.google.com/spreadsheets/d/1IYY_tgx_IHuhSq3AJ5eI5OnqOPBNLWSHKh2a30DoXe8/edit?usp=sharing"",""ภูเก็ต!J94"")"),0)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IFERROR(__xludf.DUMMYFUNCTION("IMPORTRANGE(""https://docs.google.com/spreadsheets/d/1IYY_tgx_IHuhSq3AJ5eI5OnqOPBNLWSHKh2a30DoXe8/edit?usp=sharing"",""ภูเก็ต!J95"")"),1)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IFERROR(__xludf.DUMMYFUNCTION("IMPORTRANGE(""https://docs.google.com/spreadsheets/d/1IYY_tgx_IHuhSq3AJ5eI5OnqOPBNLWSHKh2a30DoXe8/edit?usp=sharing"",""ภูเก็ต!J96"")"),1)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IFERROR(__xludf.DUMMYFUNCTION("IMPORTRANGE(""https://docs.google.com/spreadsheets/d/1IYY_tgx_IHuhSq3AJ5eI5OnqOPBNLWSHKh2a30DoXe8/edit?usp=sharing"",""ภูเก็ต!J97"")"),1)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IFERROR(__xludf.DUMMYFUNCTION("IMPORTRANGE(""https://docs.google.com/spreadsheets/d/1IYY_tgx_IHuhSq3AJ5eI5OnqOPBNLWSHKh2a30DoXe8/edit?usp=sharing"",""ภูเก็ต!I98"")"),1)</f>
        <v>1</v>
      </c>
      <c r="J173" s="195">
        <f ca="1">IFERROR(__xludf.DUMMYFUNCTION("IMPORTRANGE(""https://docs.google.com/spreadsheets/d/1IYY_tgx_IHuhSq3AJ5eI5OnqOPBNLWSHKh2a30DoXe8/edit?usp=sharing"",""ภูเก็ต!J98"")"),1)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IFERROR(__xludf.DUMMYFUNCTION("IMPORTRANGE(""https://docs.google.com/spreadsheets/d/1IYY_tgx_IHuhSq3AJ5eI5OnqOPBNLWSHKh2a30DoXe8/edit?usp=sharing"",""ภูเก็ต!J99"")"),0)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IFERROR(__xludf.DUMMYFUNCTION("IMPORTRANGE(""https://docs.google.com/spreadsheets/d/1IYY_tgx_IHuhSq3AJ5eI5OnqOPBNLWSHKh2a30DoXe8/edit?usp=sharing"",""ภูเก็ต!J100"")"),0)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IFERROR(__xludf.DUMMYFUNCTION("IMPORTRANGE(""https://docs.google.com/spreadsheets/d/1IYY_tgx_IHuhSq3AJ5eI5OnqOPBNLWSHKh2a30DoXe8/edit?usp=sharing"",""ภูเก็ต!I101"")"),0)</f>
        <v>0</v>
      </c>
      <c r="J176" s="290">
        <f ca="1">IFERROR(__xludf.DUMMYFUNCTION("IMPORTRANGE(""https://docs.google.com/spreadsheets/d/1IYY_tgx_IHuhSq3AJ5eI5OnqOPBNLWSHKh2a30DoXe8/edit?usp=sharing"",""ภูเก็ต!J101"")"),0)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IFERROR(__xludf.DUMMYFUNCTION("IMPORTRANGE(""https://docs.google.com/spreadsheets/d/1IYY_tgx_IHuhSq3AJ5eI5OnqOPBNLWSHKh2a30DoXe8/edit?usp=sharing"",""ภูเก็ต!J106"")"),0)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IFERROR(__xludf.DUMMYFUNCTION("IMPORTRANGE(""https://docs.google.com/spreadsheets/d/1IYY_tgx_IHuhSq3AJ5eI5OnqOPBNLWSHKh2a30DoXe8/edit?usp=sharing"",""ภูเก็ต!J107"")"),0)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IFERROR(__xludf.DUMMYFUNCTION("IMPORTRANGE(""https://docs.google.com/spreadsheets/d/1IYY_tgx_IHuhSq3AJ5eI5OnqOPBNLWSHKh2a30DoXe8/edit?usp=sharing"",""ภูเก็ต!J108"")"),0)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IFERROR(__xludf.DUMMYFUNCTION("IMPORTRANGE(""https://docs.google.com/spreadsheets/d/1IYY_tgx_IHuhSq3AJ5eI5OnqOPBNLWSHKh2a30DoXe8/edit?usp=sharing"",""ภูเก็ต!J109"")"),0)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IFERROR(__xludf.DUMMYFUNCTION("IMPORTRANGE(""https://docs.google.com/spreadsheets/d/1IYY_tgx_IHuhSq3AJ5eI5OnqOPBNLWSHKh2a30DoXe8/edit?usp=sharing"",""ภูเก็ต!I110"")"),0)</f>
        <v>0</v>
      </c>
      <c r="J185" s="210">
        <f ca="1">IFERROR(__xludf.DUMMYFUNCTION("IMPORTRANGE(""https://docs.google.com/spreadsheets/d/1IYY_tgx_IHuhSq3AJ5eI5OnqOPBNLWSHKh2a30DoXe8/edit?usp=sharing"",""ภูเก็ต!J110"")"),0)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IFERROR(__xludf.DUMMYFUNCTION("IMPORTRANGE(""https://docs.google.com/spreadsheets/d/1IYY_tgx_IHuhSq3AJ5eI5OnqOPBNLWSHKh2a30DoXe8/edit?usp=sharing"",""ภูเก็ต!I111"")"),0)</f>
        <v>0</v>
      </c>
      <c r="J186" s="210">
        <f ca="1">IFERROR(__xludf.DUMMYFUNCTION("IMPORTRANGE(""https://docs.google.com/spreadsheets/d/1IYY_tgx_IHuhSq3AJ5eI5OnqOPBNLWSHKh2a30DoXe8/edit?usp=sharing"",""ภูเก็ต!J111"")"),0)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IFERROR(__xludf.DUMMYFUNCTION("IMPORTRANGE(""https://docs.google.com/spreadsheets/d/1IYY_tgx_IHuhSq3AJ5eI5OnqOPBNLWSHKh2a30DoXe8/edit?usp=sharing"",""ภูเก็ต!J112"")"),0)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IFERROR(__xludf.DUMMYFUNCTION("IMPORTRANGE(""https://docs.google.com/spreadsheets/d/1IYY_tgx_IHuhSq3AJ5eI5OnqOPBNLWSHKh2a30DoXe8/edit?usp=sharing"",""ภูเก็ต!J113"")"),0)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IFERROR(__xludf.DUMMYFUNCTION("IMPORTRANGE(""https://docs.google.com/spreadsheets/d/1IYY_tgx_IHuhSq3AJ5eI5OnqOPBNLWSHKh2a30DoXe8/edit?usp=sharing"",""ภูเก็ต!I114"")"),0)</f>
        <v>0</v>
      </c>
      <c r="J189" s="290">
        <f ca="1">IFERROR(__xludf.DUMMYFUNCTION("IMPORTRANGE(""https://docs.google.com/spreadsheets/d/1IYY_tgx_IHuhSq3AJ5eI5OnqOPBNLWSHKh2a30DoXe8/edit?usp=sharing"",""ภูเก็ต!J114"")"),0)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IFERROR(__xludf.DUMMYFUNCTION("IMPORTRANGE(""https://docs.google.com/spreadsheets/d/1IYY_tgx_IHuhSq3AJ5eI5OnqOPBNLWSHKh2a30DoXe8/edit?usp=sharing"",""ภูเก็ต!J119"")"),0)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IFERROR(__xludf.DUMMYFUNCTION("IMPORTRANGE(""https://docs.google.com/spreadsheets/d/1IYY_tgx_IHuhSq3AJ5eI5OnqOPBNLWSHKh2a30DoXe8/edit?usp=sharing"",""ภูเก็ต!J120"")"),0)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IFERROR(__xludf.DUMMYFUNCTION("IMPORTRANGE(""https://docs.google.com/spreadsheets/d/1IYY_tgx_IHuhSq3AJ5eI5OnqOPBNLWSHKh2a30DoXe8/edit?usp=sharing"",""ภูเก็ต!J121"")"),0)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IFERROR(__xludf.DUMMYFUNCTION("IMPORTRANGE(""https://docs.google.com/spreadsheets/d/1IYY_tgx_IHuhSq3AJ5eI5OnqOPBNLWSHKh2a30DoXe8/edit?usp=sharing"",""ภูเก็ต!J122"")"),0)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IFERROR(__xludf.DUMMYFUNCTION("IMPORTRANGE(""https://docs.google.com/spreadsheets/d/1IYY_tgx_IHuhSq3AJ5eI5OnqOPBNLWSHKh2a30DoXe8/edit?usp=sharing"",""ภูเก็ต!I124"")"),0)</f>
        <v>0</v>
      </c>
      <c r="J199" s="195">
        <f ca="1">IFERROR(__xludf.DUMMYFUNCTION("IMPORTRANGE(""https://docs.google.com/spreadsheets/d/1IYY_tgx_IHuhSq3AJ5eI5OnqOPBNLWSHKh2a30DoXe8/edit?usp=sharing"",""ภูเก็ต!J124"")"),0)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IFERROR(__xludf.DUMMYFUNCTION("IMPORTRANGE(""https://docs.google.com/spreadsheets/d/1IYY_tgx_IHuhSq3AJ5eI5OnqOPBNLWSHKh2a30DoXe8/edit?usp=sharing"",""ภูเก็ต!I125"")"),0)</f>
        <v>0</v>
      </c>
      <c r="J200" s="195">
        <f ca="1">IFERROR(__xludf.DUMMYFUNCTION("IMPORTRANGE(""https://docs.google.com/spreadsheets/d/1IYY_tgx_IHuhSq3AJ5eI5OnqOPBNLWSHKh2a30DoXe8/edit?usp=sharing"",""ภูเก็ต!J125"")"),0)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IFERROR(__xludf.DUMMYFUNCTION("IMPORTRANGE(""https://docs.google.com/spreadsheets/d/1IYY_tgx_IHuhSq3AJ5eI5OnqOPBNLWSHKh2a30DoXe8/edit?usp=sharing"",""ภูเก็ต!I126"")"),0)</f>
        <v>0</v>
      </c>
      <c r="J201" s="195">
        <f ca="1">IFERROR(__xludf.DUMMYFUNCTION("IMPORTRANGE(""https://docs.google.com/spreadsheets/d/1IYY_tgx_IHuhSq3AJ5eI5OnqOPBNLWSHKh2a30DoXe8/edit?usp=sharing"",""ภูเก็ต!J126"")"),0)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IFERROR(__xludf.DUMMYFUNCTION("IMPORTRANGE(""https://docs.google.com/spreadsheets/d/1IYY_tgx_IHuhSq3AJ5eI5OnqOPBNLWSHKh2a30DoXe8/edit?usp=sharing"",""ภูเก็ต!J127"")"),0)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IFERROR(__xludf.DUMMYFUNCTION("IMPORTRANGE(""https://docs.google.com/spreadsheets/d/1IYY_tgx_IHuhSq3AJ5eI5OnqOPBNLWSHKh2a30DoXe8/edit?usp=sharing"",""ภูเก็ต!J128"")"),0)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IFERROR(__xludf.DUMMYFUNCTION("IMPORTRANGE(""https://docs.google.com/spreadsheets/d/1IYY_tgx_IHuhSq3AJ5eI5OnqOPBNLWSHKh2a30DoXe8/edit?usp=sharing"",""ภูเก็ต!I129"")"),0)</f>
        <v>0</v>
      </c>
      <c r="J204" s="290">
        <f ca="1">IFERROR(__xludf.DUMMYFUNCTION("IMPORTRANGE(""https://docs.google.com/spreadsheets/d/1IYY_tgx_IHuhSq3AJ5eI5OnqOPBNLWSHKh2a30DoXe8/edit?usp=sharing"",""ภูเก็ต!J129"")"),0)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IFERROR(__xludf.DUMMYFUNCTION("IMPORTRANGE(""https://docs.google.com/spreadsheets/d/1IYY_tgx_IHuhSq3AJ5eI5OnqOPBNLWSHKh2a30DoXe8/edit?usp=sharing"",""ภูเก็ต!J134"")"),0)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IFERROR(__xludf.DUMMYFUNCTION("IMPORTRANGE(""https://docs.google.com/spreadsheets/d/1IYY_tgx_IHuhSq3AJ5eI5OnqOPBNLWSHKh2a30DoXe8/edit?usp=sharing"",""ภูเก็ต!J135"")"),0)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IFERROR(__xludf.DUMMYFUNCTION("IMPORTRANGE(""https://docs.google.com/spreadsheets/d/1IYY_tgx_IHuhSq3AJ5eI5OnqOPBNLWSHKh2a30DoXe8/edit?usp=sharing"",""ภูเก็ต!J136"")"),0)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IFERROR(__xludf.DUMMYFUNCTION("IMPORTRANGE(""https://docs.google.com/spreadsheets/d/1IYY_tgx_IHuhSq3AJ5eI5OnqOPBNLWSHKh2a30DoXe8/edit?usp=sharing"",""ภูเก็ต!J137"")"),0)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IFERROR(__xludf.DUMMYFUNCTION("IMPORTRANGE(""https://docs.google.com/spreadsheets/d/1IYY_tgx_IHuhSq3AJ5eI5OnqOPBNLWSHKh2a30DoXe8/edit?usp=sharing"",""ภูเก็ต!I138"")"),0)</f>
        <v>0</v>
      </c>
      <c r="J213" s="210">
        <f ca="1">IFERROR(__xludf.DUMMYFUNCTION("IMPORTRANGE(""https://docs.google.com/spreadsheets/d/1IYY_tgx_IHuhSq3AJ5eI5OnqOPBNLWSHKh2a30DoXe8/edit?usp=sharing"",""ภูเก็ต!J138"")"),0)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IFERROR(__xludf.DUMMYFUNCTION("IMPORTRANGE(""https://docs.google.com/spreadsheets/d/1IYY_tgx_IHuhSq3AJ5eI5OnqOPBNLWSHKh2a30DoXe8/edit?usp=sharing"",""ภูเก็ต!I140"")"),0)</f>
        <v>0</v>
      </c>
      <c r="J215" s="210">
        <f ca="1">IFERROR(__xludf.DUMMYFUNCTION("IMPORTRANGE(""https://docs.google.com/spreadsheets/d/1IYY_tgx_IHuhSq3AJ5eI5OnqOPBNLWSHKh2a30DoXe8/edit?usp=sharing"",""ภูเก็ต!J140"")"),0)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IFERROR(__xludf.DUMMYFUNCTION("IMPORTRANGE(""https://docs.google.com/spreadsheets/d/1IYY_tgx_IHuhSq3AJ5eI5OnqOPBNLWSHKh2a30DoXe8/edit?usp=sharing"",""ภูเก็ต!I141"")"),0)</f>
        <v>0</v>
      </c>
      <c r="J216" s="210">
        <f ca="1">IFERROR(__xludf.DUMMYFUNCTION("IMPORTRANGE(""https://docs.google.com/spreadsheets/d/1IYY_tgx_IHuhSq3AJ5eI5OnqOPBNLWSHKh2a30DoXe8/edit?usp=sharing"",""ภูเก็ต!J141"")"),0)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IFERROR(__xludf.DUMMYFUNCTION("IMPORTRANGE(""https://docs.google.com/spreadsheets/d/1IYY_tgx_IHuhSq3AJ5eI5OnqOPBNLWSHKh2a30DoXe8/edit?usp=sharing"",""ภูเก็ต!J142"")"),0)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IFERROR(__xludf.DUMMYFUNCTION("IMPORTRANGE(""https://docs.google.com/spreadsheets/d/1IYY_tgx_IHuhSq3AJ5eI5OnqOPBNLWSHKh2a30DoXe8/edit?usp=sharing"",""ภูเก็ต!J143"")"),0)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IFERROR(__xludf.DUMMYFUNCTION("IMPORTRANGE(""https://docs.google.com/spreadsheets/d/1IYY_tgx_IHuhSq3AJ5eI5OnqOPBNLWSHKh2a30DoXe8/edit?usp=sharing"",""ภูเก็ต!I144"")"),13)</f>
        <v>13</v>
      </c>
      <c r="J219" s="273">
        <f ca="1">IFERROR(__xludf.DUMMYFUNCTION("IMPORTRANGE(""https://docs.google.com/spreadsheets/d/1IYY_tgx_IHuhSq3AJ5eI5OnqOPBNLWSHKh2a30DoXe8/edit?usp=sharing"",""ภูเก็ต!J144"")"),13)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IFERROR(__xludf.DUMMYFUNCTION("IMPORTRANGE(""https://docs.google.com/spreadsheets/d/1Yj_ptqi66GCucihVvJfMjLAmec39IyEx_6qawtMGysU/edit?usp=sharing"",""สบก!BS89"")"),19295)</f>
        <v>19295</v>
      </c>
      <c r="N224" s="174">
        <f ca="1">IFERROR(__xludf.DUMMYFUNCTION("IMPORTRANGE(""https://docs.google.com/spreadsheets/d/1Yj_ptqi66GCucihVvJfMjLAmec39IyEx_6qawtMGysU/edit?usp=sharing"",""สบก!BT89"")"),19295)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IFERROR(__xludf.DUMMYFUNCTION("IMPORTRANGE(""https://docs.google.com/spreadsheets/d/1Yj_ptqi66GCucihVvJfMjLAmec39IyEx_6qawtMGysU/edit?usp=sharing"",""สบก!BO89"")"),0)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IFERROR(__xludf.DUMMYFUNCTION("IMPORTRANGE(""https://docs.google.com/spreadsheets/d/1Yj_ptqi66GCucihVvJfMjLAmec39IyEx_6qawtMGysU/edit?usp=sharing"",""สบก!BP89"")"),19295)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IFERROR(__xludf.DUMMYFUNCTION("IMPORTRANGE(""https://docs.google.com/spreadsheets/d/1Yj_ptqi66GCucihVvJfMjLAmec39IyEx_6qawtMGysU/edit?usp=sharing"",""สบก!BQ89"")"),0)</f>
        <v>0</v>
      </c>
      <c r="M228" s="101"/>
      <c r="N228" s="91">
        <f ca="1">IFERROR(__xludf.DUMMYFUNCTION("IMPORTRANGE(""https://docs.google.com/spreadsheets/d/1Yj_ptqi66GCucihVvJfMjLAmec39IyEx_6qawtMGysU/edit?usp=sharing"",""สบก!BU89"")"),0)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IFERROR(__xludf.DUMMYFUNCTION("IMPORTRANGE(""https://docs.google.com/spreadsheets/d/1IYY_tgx_IHuhSq3AJ5eI5OnqOPBNLWSHKh2a30DoXe8/edit?usp=sharing"",""ภูเก็ต!I149"")"),13)</f>
        <v>13</v>
      </c>
      <c r="J229" s="273">
        <f ca="1">IFERROR(__xludf.DUMMYFUNCTION("IMPORTRANGE(""https://docs.google.com/spreadsheets/d/1IYY_tgx_IHuhSq3AJ5eI5OnqOPBNLWSHKh2a30DoXe8/edit?usp=sharing"",""ภูเก็ต!J149"")"),13)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IFERROR(__xludf.DUMMYFUNCTION("IMPORTRANGE(""https://docs.google.com/spreadsheets/d/1IYY_tgx_IHuhSq3AJ5eI5OnqOPBNLWSHKh2a30DoXe8/edit?usp=sharing"",""ภูเก็ต!J151"")"),0)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IFERROR(__xludf.DUMMYFUNCTION("IMPORTRANGE(""https://docs.google.com/spreadsheets/d/1IYY_tgx_IHuhSq3AJ5eI5OnqOPBNLWSHKh2a30DoXe8/edit?usp=sharing"",""ภูเก็ต!J152"")"),1)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IFERROR(__xludf.DUMMYFUNCTION("IMPORTRANGE(""https://docs.google.com/spreadsheets/d/1IYY_tgx_IHuhSq3AJ5eI5OnqOPBNLWSHKh2a30DoXe8/edit?usp=sharing"",""ภูเก็ต!J153"")"),1)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IFERROR(__xludf.DUMMYFUNCTION("IMPORTRANGE(""https://docs.google.com/spreadsheets/d/1IYY_tgx_IHuhSq3AJ5eI5OnqOPBNLWSHKh2a30DoXe8/edit?usp=sharing"",""ภูเก็ต!J154"")"),1)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IFERROR(__xludf.DUMMYFUNCTION("IMPORTRANGE(""https://docs.google.com/spreadsheets/d/1IYY_tgx_IHuhSq3AJ5eI5OnqOPBNLWSHKh2a30DoXe8/edit?usp=sharing"",""ภูเก็ต!I155"")"),13)</f>
        <v>13</v>
      </c>
      <c r="J235" s="195">
        <f ca="1">IFERROR(__xludf.DUMMYFUNCTION("IMPORTRANGE(""https://docs.google.com/spreadsheets/d/1IYY_tgx_IHuhSq3AJ5eI5OnqOPBNLWSHKh2a30DoXe8/edit?usp=sharing"",""ภูเก็ต!J155"")"),13)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IFERROR(__xludf.DUMMYFUNCTION("IMPORTRANGE(""https://docs.google.com/spreadsheets/d/1IYY_tgx_IHuhSq3AJ5eI5OnqOPBNLWSHKh2a30DoXe8/edit?usp=sharing"",""ภูเก็ต!J156"")"),0)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IFERROR(__xludf.DUMMYFUNCTION("IMPORTRANGE(""https://docs.google.com/spreadsheets/d/1IYY_tgx_IHuhSq3AJ5eI5OnqOPBNLWSHKh2a30DoXe8/edit?usp=sharing"",""ภูเก็ต!J157"")"),0)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IFERROR(__xludf.DUMMYFUNCTION("IMPORTRANGE(""https://docs.google.com/spreadsheets/d/1IYY_tgx_IHuhSq3AJ5eI5OnqOPBNLWSHKh2a30DoXe8/edit?usp=sharing"",""ภูเก็ต!I158"")"),0)</f>
        <v>0</v>
      </c>
      <c r="J238" s="273">
        <f ca="1">IFERROR(__xludf.DUMMYFUNCTION("IMPORTRANGE(""https://docs.google.com/spreadsheets/d/1IYY_tgx_IHuhSq3AJ5eI5OnqOPBNLWSHKh2a30DoXe8/edit?usp=sharing"",""ภูเก็ต!J158"")"),0)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IFERROR(__xludf.DUMMYFUNCTION("IMPORTRANGE(""https://docs.google.com/spreadsheets/d/1IYY_tgx_IHuhSq3AJ5eI5OnqOPBNLWSHKh2a30DoXe8/edit?usp=sharing"",""ภูเก็ต!J159"")"),"")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IFERROR(__xludf.DUMMYFUNCTION("IMPORTRANGE(""https://docs.google.com/spreadsheets/d/1IYY_tgx_IHuhSq3AJ5eI5OnqOPBNLWSHKh2a30DoXe8/edit?usp=sharing"",""ภูเก็ต!J161"")"),0)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IFERROR(__xludf.DUMMYFUNCTION("IMPORTRANGE(""https://docs.google.com/spreadsheets/d/1IYY_tgx_IHuhSq3AJ5eI5OnqOPBNLWSHKh2a30DoXe8/edit?usp=sharing"",""ภูเก็ต!J162"")"),0)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IFERROR(__xludf.DUMMYFUNCTION("IMPORTRANGE(""https://docs.google.com/spreadsheets/d/1IYY_tgx_IHuhSq3AJ5eI5OnqOPBNLWSHKh2a30DoXe8/edit?usp=sharing"",""ภูเก็ต!J163"")"),0)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IFERROR(__xludf.DUMMYFUNCTION("IMPORTRANGE(""https://docs.google.com/spreadsheets/d/1IYY_tgx_IHuhSq3AJ5eI5OnqOPBNLWSHKh2a30DoXe8/edit?usp=sharing"",""ภูเก็ต!I164"")"),0)</f>
        <v>0</v>
      </c>
      <c r="J244" s="194">
        <f ca="1">IFERROR(__xludf.DUMMYFUNCTION("IMPORTRANGE(""https://docs.google.com/spreadsheets/d/1IYY_tgx_IHuhSq3AJ5eI5OnqOPBNLWSHKh2a30DoXe8/edit?usp=sharing"",""ภูเก็ต!J164"")"),0)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IFERROR(__xludf.DUMMYFUNCTION("IMPORTRANGE(""https://docs.google.com/spreadsheets/d/1IYY_tgx_IHuhSq3AJ5eI5OnqOPBNLWSHKh2a30DoXe8/edit?usp=sharing"",""ภูเก็ต!J165"")"),0)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IFERROR(__xludf.DUMMYFUNCTION("IMPORTRANGE(""https://docs.google.com/spreadsheets/d/1IYY_tgx_IHuhSq3AJ5eI5OnqOPBNLWSHKh2a30DoXe8/edit?usp=sharing"",""ภูเก็ต!J166"")"),0)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IFERROR(__xludf.DUMMYFUNCTION("IMPORTRANGE(""https://docs.google.com/spreadsheets/d/1IYY_tgx_IHuhSq3AJ5eI5OnqOPBNLWSHKh2a30DoXe8/edit?usp=sharing"",""ภูเก็ต!I169"")"),0)</f>
        <v>0</v>
      </c>
      <c r="J249" s="322">
        <f ca="1">IFERROR(__xludf.DUMMYFUNCTION("IMPORTRANGE(""https://docs.google.com/spreadsheets/d/1IYY_tgx_IHuhSq3AJ5eI5OnqOPBNLWSHKh2a30DoXe8/edit?usp=sharing"",""ภูเก็ต!J169"")"),0)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IFERROR(__xludf.DUMMYFUNCTION("IMPORTRANGE(""https://docs.google.com/spreadsheets/d/1Yj_ptqi66GCucihVvJfMjLAmec39IyEx_6qawtMGysU/edit?usp=sharing"",""สบก!CB89"")"),0)</f>
        <v>0</v>
      </c>
      <c r="N254" s="174">
        <f ca="1">IFERROR(__xludf.DUMMYFUNCTION("IMPORTRANGE(""https://docs.google.com/spreadsheets/d/1Yj_ptqi66GCucihVvJfMjLAmec39IyEx_6qawtMGysU/edit?usp=sharing"",""สบก!CC89"")"),0)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IFERROR(__xludf.DUMMYFUNCTION("IMPORTRANGE(""https://docs.google.com/spreadsheets/d/1Yj_ptqi66GCucihVvJfMjLAmec39IyEx_6qawtMGysU/edit?usp=sharing"",""สบก!BX89"")"),0)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IFERROR(__xludf.DUMMYFUNCTION("IMPORTRANGE(""https://docs.google.com/spreadsheets/d/1Yj_ptqi66GCucihVvJfMjLAmec39IyEx_6qawtMGysU/edit?usp=sharing"",""สบก!BY89"")"),0)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IFERROR(__xludf.DUMMYFUNCTION("IMPORTRANGE(""https://docs.google.com/spreadsheets/d/1Yj_ptqi66GCucihVvJfMjLAmec39IyEx_6qawtMGysU/edit?usp=sharing"",""สบก!BZ89"")"),0)</f>
        <v>0</v>
      </c>
      <c r="M258" s="101"/>
      <c r="N258" s="91">
        <f ca="1">IFERROR(__xludf.DUMMYFUNCTION("IMPORTRANGE(""https://docs.google.com/spreadsheets/d/1Yj_ptqi66GCucihVvJfMjLAmec39IyEx_6qawtMGysU/edit?usp=sharing"",""สบก!CD89"")"),0)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IFERROR(__xludf.DUMMYFUNCTION("IMPORTRANGE(""https://docs.google.com/spreadsheets/d/1IYY_tgx_IHuhSq3AJ5eI5OnqOPBNLWSHKh2a30DoXe8/edit?usp=sharing"",""ภูเก็ต!J175"")"),0)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IFERROR(__xludf.DUMMYFUNCTION("IMPORTRANGE(""https://docs.google.com/spreadsheets/d/1IYY_tgx_IHuhSq3AJ5eI5OnqOPBNLWSHKh2a30DoXe8/edit?usp=sharing"",""ภูเก็ต!J176"")"),0)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IFERROR(__xludf.DUMMYFUNCTION("IMPORTRANGE(""https://docs.google.com/spreadsheets/d/1IYY_tgx_IHuhSq3AJ5eI5OnqOPBNLWSHKh2a30DoXe8/edit?usp=sharing"",""ภูเก็ต!J177"")"),0)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IFERROR(__xludf.DUMMYFUNCTION("IMPORTRANGE(""https://docs.google.com/spreadsheets/d/1IYY_tgx_IHuhSq3AJ5eI5OnqOPBNLWSHKh2a30DoXe8/edit?usp=sharing"",""ภูเก็ต!J178"")"),0)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IFERROR(__xludf.DUMMYFUNCTION("IMPORTRANGE(""https://docs.google.com/spreadsheets/d/1IYY_tgx_IHuhSq3AJ5eI5OnqOPBNLWSHKh2a30DoXe8/edit?usp=sharing"",""ภูเก็ต!I179"")"),0)</f>
        <v>0</v>
      </c>
      <c r="J264" s="195">
        <f ca="1">IFERROR(__xludf.DUMMYFUNCTION("IMPORTRANGE(""https://docs.google.com/spreadsheets/d/1IYY_tgx_IHuhSq3AJ5eI5OnqOPBNLWSHKh2a30DoXe8/edit?usp=sharing"",""ภูเก็ต!J179"")"),0)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IFERROR(__xludf.DUMMYFUNCTION("IMPORTRANGE(""https://docs.google.com/spreadsheets/d/1IYY_tgx_IHuhSq3AJ5eI5OnqOPBNLWSHKh2a30DoXe8/edit?usp=sharing"",""ภูเก็ต!I180"")"),0)</f>
        <v>0</v>
      </c>
      <c r="J265" s="195">
        <f ca="1">IFERROR(__xludf.DUMMYFUNCTION("IMPORTRANGE(""https://docs.google.com/spreadsheets/d/1IYY_tgx_IHuhSq3AJ5eI5OnqOPBNLWSHKh2a30DoXe8/edit?usp=sharing"",""ภูเก็ต!J180"")"),0)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IFERROR(__xludf.DUMMYFUNCTION("IMPORTRANGE(""https://docs.google.com/spreadsheets/d/1IYY_tgx_IHuhSq3AJ5eI5OnqOPBNLWSHKh2a30DoXe8/edit?usp=sharing"",""ภูเก็ต!I181"")"),0)</f>
        <v>0</v>
      </c>
      <c r="J266" s="195">
        <f ca="1">IFERROR(__xludf.DUMMYFUNCTION("IMPORTRANGE(""https://docs.google.com/spreadsheets/d/1IYY_tgx_IHuhSq3AJ5eI5OnqOPBNLWSHKh2a30DoXe8/edit?usp=sharing"",""ภูเก็ต!J181"")"),0)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IFERROR(__xludf.DUMMYFUNCTION("IMPORTRANGE(""https://docs.google.com/spreadsheets/d/1IYY_tgx_IHuhSq3AJ5eI5OnqOPBNLWSHKh2a30DoXe8/edit?usp=sharing"",""ภูเก็ต!I182"")"),0)</f>
        <v>0</v>
      </c>
      <c r="J267" s="195">
        <f ca="1">IFERROR(__xludf.DUMMYFUNCTION("IMPORTRANGE(""https://docs.google.com/spreadsheets/d/1IYY_tgx_IHuhSq3AJ5eI5OnqOPBNLWSHKh2a30DoXe8/edit?usp=sharing"",""ภูเก็ต!J182"")"),0)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IFERROR(__xludf.DUMMYFUNCTION("IMPORTRANGE(""https://docs.google.com/spreadsheets/d/1IYY_tgx_IHuhSq3AJ5eI5OnqOPBNLWSHKh2a30DoXe8/edit?usp=sharing"",""ภูเก็ต!J183"")"),0)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IFERROR(__xludf.DUMMYFUNCTION("IMPORTRANGE(""https://docs.google.com/spreadsheets/d/1IYY_tgx_IHuhSq3AJ5eI5OnqOPBNLWSHKh2a30DoXe8/edit?usp=sharing"",""ภูเก็ต!J184"")"),0)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IFERROR(__xludf.DUMMYFUNCTION("IMPORTRANGE(""https://docs.google.com/spreadsheets/d/1IYY_tgx_IHuhSq3AJ5eI5OnqOPBNLWSHKh2a30DoXe8/edit?usp=sharing"",""ภูเก็ต!I185"")"),0)</f>
        <v>0</v>
      </c>
      <c r="J270" s="322">
        <f ca="1">IFERROR(__xludf.DUMMYFUNCTION("IMPORTRANGE(""https://docs.google.com/spreadsheets/d/1IYY_tgx_IHuhSq3AJ5eI5OnqOPBNLWSHKh2a30DoXe8/edit?usp=sharing"",""ภูเก็ต!J185"")"),0)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IFERROR(__xludf.DUMMYFUNCTION("IMPORTRANGE(""https://docs.google.com/spreadsheets/d/1Yj_ptqi66GCucihVvJfMjLAmec39IyEx_6qawtMGysU/edit?usp=sharing"",""สบก!CK89"")"),0)</f>
        <v>0</v>
      </c>
      <c r="N275" s="174">
        <f ca="1">IFERROR(__xludf.DUMMYFUNCTION("IMPORTRANGE(""https://docs.google.com/spreadsheets/d/1Yj_ptqi66GCucihVvJfMjLAmec39IyEx_6qawtMGysU/edit?usp=sharing"",""สบก!CL89"")"),0)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IFERROR(__xludf.DUMMYFUNCTION("IMPORTRANGE(""https://docs.google.com/spreadsheets/d/1Yj_ptqi66GCucihVvJfMjLAmec39IyEx_6qawtMGysU/edit?usp=sharing"",""สบก!CG89"")"),0)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IFERROR(__xludf.DUMMYFUNCTION("IMPORTRANGE(""https://docs.google.com/spreadsheets/d/1Yj_ptqi66GCucihVvJfMjLAmec39IyEx_6qawtMGysU/edit?usp=sharing"",""สบก!CH89"")"),0)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IFERROR(__xludf.DUMMYFUNCTION("IMPORTRANGE(""https://docs.google.com/spreadsheets/d/1Yj_ptqi66GCucihVvJfMjLAmec39IyEx_6qawtMGysU/edit?usp=sharing"",""สบก!CI89"")"),0)</f>
        <v>0</v>
      </c>
      <c r="M279" s="101"/>
      <c r="N279" s="91">
        <f ca="1">IFERROR(__xludf.DUMMYFUNCTION("IMPORTRANGE(""https://docs.google.com/spreadsheets/d/1Yj_ptqi66GCucihVvJfMjLAmec39IyEx_6qawtMGysU/edit?usp=sharing"",""สบก!CM89"")"),0)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IFERROR(__xludf.DUMMYFUNCTION("IMPORTRANGE(""https://docs.google.com/spreadsheets/d/1IYY_tgx_IHuhSq3AJ5eI5OnqOPBNLWSHKh2a30DoXe8/edit?usp=sharing"",""ภูเก็ต!J191"")"),0)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IFERROR(__xludf.DUMMYFUNCTION("IMPORTRANGE(""https://docs.google.com/spreadsheets/d/1IYY_tgx_IHuhSq3AJ5eI5OnqOPBNLWSHKh2a30DoXe8/edit?usp=sharing"",""ภูเก็ต!J192"")"),0)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IFERROR(__xludf.DUMMYFUNCTION("IMPORTRANGE(""https://docs.google.com/spreadsheets/d/1IYY_tgx_IHuhSq3AJ5eI5OnqOPBNLWSHKh2a30DoXe8/edit?usp=sharing"",""ภูเก็ต!J193"")"),0)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IFERROR(__xludf.DUMMYFUNCTION("IMPORTRANGE(""https://docs.google.com/spreadsheets/d/1IYY_tgx_IHuhSq3AJ5eI5OnqOPBNLWSHKh2a30DoXe8/edit?usp=sharing"",""ภูเก็ต!J194"")"),0)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IFERROR(__xludf.DUMMYFUNCTION("IMPORTRANGE(""https://docs.google.com/spreadsheets/d/1IYY_tgx_IHuhSq3AJ5eI5OnqOPBNLWSHKh2a30DoXe8/edit?usp=sharing"",""ภูเก็ต!I195"")"),0)</f>
        <v>0</v>
      </c>
      <c r="J285" s="195">
        <f ca="1">IFERROR(__xludf.DUMMYFUNCTION("IMPORTRANGE(""https://docs.google.com/spreadsheets/d/1IYY_tgx_IHuhSq3AJ5eI5OnqOPBNLWSHKh2a30DoXe8/edit?usp=sharing"",""ภูเก็ต!J195"")"),0)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IFERROR(__xludf.DUMMYFUNCTION("IMPORTRANGE(""https://docs.google.com/spreadsheets/d/1IYY_tgx_IHuhSq3AJ5eI5OnqOPBNLWSHKh2a30DoXe8/edit?usp=sharing"",""ภูเก็ต!J196"")"),0)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IFERROR(__xludf.DUMMYFUNCTION("IMPORTRANGE(""https://docs.google.com/spreadsheets/d/1IYY_tgx_IHuhSq3AJ5eI5OnqOPBNLWSHKh2a30DoXe8/edit?usp=sharing"",""ภูเก็ต!J197"")"),0)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IFERROR(__xludf.DUMMYFUNCTION("IMPORTRANGE(""https://docs.google.com/spreadsheets/d/1IYY_tgx_IHuhSq3AJ5eI5OnqOPBNLWSHKh2a30DoXe8/edit?usp=sharing"",""ภูเก็ต!I199"")"),0)</f>
        <v>0</v>
      </c>
      <c r="J289" s="322">
        <f ca="1">IFERROR(__xludf.DUMMYFUNCTION("IMPORTRANGE(""https://docs.google.com/spreadsheets/d/1IYY_tgx_IHuhSq3AJ5eI5OnqOPBNLWSHKh2a30DoXe8/edit?usp=sharing"",""ภูเก็ต!J199"")"),0)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IFERROR(__xludf.DUMMYFUNCTION("IMPORTRANGE(""https://docs.google.com/spreadsheets/d/1Yj_ptqi66GCucihVvJfMjLAmec39IyEx_6qawtMGysU/edit?usp=sharing"",""สบก!CT89"")"),0)</f>
        <v>0</v>
      </c>
      <c r="N294" s="174">
        <f ca="1">IFERROR(__xludf.DUMMYFUNCTION("IMPORTRANGE(""https://docs.google.com/spreadsheets/d/1Yj_ptqi66GCucihVvJfMjLAmec39IyEx_6qawtMGysU/edit?usp=sharing"",""สบก!CU89"")"),0)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IFERROR(__xludf.DUMMYFUNCTION("IMPORTRANGE(""https://docs.google.com/spreadsheets/d/1Yj_ptqi66GCucihVvJfMjLAmec39IyEx_6qawtMGysU/edit?usp=sharing"",""สบก!CP89"")"),0)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IFERROR(__xludf.DUMMYFUNCTION("IMPORTRANGE(""https://docs.google.com/spreadsheets/d/1Yj_ptqi66GCucihVvJfMjLAmec39IyEx_6qawtMGysU/edit?usp=sharing"",""สบก!CQ89"")"),0)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IFERROR(__xludf.DUMMYFUNCTION("IMPORTRANGE(""https://docs.google.com/spreadsheets/d/1Yj_ptqi66GCucihVvJfMjLAmec39IyEx_6qawtMGysU/edit?usp=sharing"",""สบก!CR89"")"),0)</f>
        <v>0</v>
      </c>
      <c r="M298" s="101"/>
      <c r="N298" s="91">
        <f ca="1">IFERROR(__xludf.DUMMYFUNCTION("IMPORTRANGE(""https://docs.google.com/spreadsheets/d/1Yj_ptqi66GCucihVvJfMjLAmec39IyEx_6qawtMGysU/edit?usp=sharing"",""สบก!CV89"")"),0)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IFERROR(__xludf.DUMMYFUNCTION("IMPORTRANGE(""https://docs.google.com/spreadsheets/d/1IYY_tgx_IHuhSq3AJ5eI5OnqOPBNLWSHKh2a30DoXe8/edit?usp=sharing"",""ภูเก็ต!J205"")"),0)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IFERROR(__xludf.DUMMYFUNCTION("IMPORTRANGE(""https://docs.google.com/spreadsheets/d/1IYY_tgx_IHuhSq3AJ5eI5OnqOPBNLWSHKh2a30DoXe8/edit?usp=sharing"",""ภูเก็ต!J206"")"),0)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IFERROR(__xludf.DUMMYFUNCTION("IMPORTRANGE(""https://docs.google.com/spreadsheets/d/1IYY_tgx_IHuhSq3AJ5eI5OnqOPBNLWSHKh2a30DoXe8/edit?usp=sharing"",""ภูเก็ต!J207"")"),0)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IFERROR(__xludf.DUMMYFUNCTION("IMPORTRANGE(""https://docs.google.com/spreadsheets/d/1IYY_tgx_IHuhSq3AJ5eI5OnqOPBNLWSHKh2a30DoXe8/edit?usp=sharing"",""ภูเก็ต!J208"")"),0)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IFERROR(__xludf.DUMMYFUNCTION("IMPORTRANGE(""https://docs.google.com/spreadsheets/d/1IYY_tgx_IHuhSq3AJ5eI5OnqOPBNLWSHKh2a30DoXe8/edit?usp=sharing"",""ภูเก็ต!I209"")"),0)</f>
        <v>0</v>
      </c>
      <c r="J304" s="210">
        <f ca="1">IFERROR(__xludf.DUMMYFUNCTION("IMPORTRANGE(""https://docs.google.com/spreadsheets/d/1IYY_tgx_IHuhSq3AJ5eI5OnqOPBNLWSHKh2a30DoXe8/edit?usp=sharing"",""ภูเก็ต!J209"")"),0)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IFERROR(__xludf.DUMMYFUNCTION("IMPORTRANGE(""https://docs.google.com/spreadsheets/d/1IYY_tgx_IHuhSq3AJ5eI5OnqOPBNLWSHKh2a30DoXe8/edit?usp=sharing"",""ภูเก็ต!I211"")"),0)</f>
        <v>0</v>
      </c>
      <c r="J306" s="210">
        <f ca="1">IFERROR(__xludf.DUMMYFUNCTION("IMPORTRANGE(""https://docs.google.com/spreadsheets/d/1IYY_tgx_IHuhSq3AJ5eI5OnqOPBNLWSHKh2a30DoXe8/edit?usp=sharing"",""ภูเก็ต!J211"")"),0)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IFERROR(__xludf.DUMMYFUNCTION("IMPORTRANGE(""https://docs.google.com/spreadsheets/d/1IYY_tgx_IHuhSq3AJ5eI5OnqOPBNLWSHKh2a30DoXe8/edit?usp=sharing"",""ภูเก็ต!J212"")"),0)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IFERROR(__xludf.DUMMYFUNCTION("IMPORTRANGE(""https://docs.google.com/spreadsheets/d/1IYY_tgx_IHuhSq3AJ5eI5OnqOPBNLWSHKh2a30DoXe8/edit?usp=sharing"",""ภูเก็ต!J213"")"),0)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IFERROR(__xludf.DUMMYFUNCTION("IMPORTRANGE(""https://docs.google.com/spreadsheets/d/1IYY_tgx_IHuhSq3AJ5eI5OnqOPBNLWSHKh2a30DoXe8/edit?usp=sharing"",""ภูเก็ต!I214"")"),0)</f>
        <v>0</v>
      </c>
      <c r="J309" s="339">
        <f ca="1">IFERROR(__xludf.DUMMYFUNCTION("IMPORTRANGE(""https://docs.google.com/spreadsheets/d/1IYY_tgx_IHuhSq3AJ5eI5OnqOPBNLWSHKh2a30DoXe8/edit?usp=sharing"",""ภูเก็ต!J214"")"),0)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IFERROR(__xludf.DUMMYFUNCTION("IMPORTRANGE(""https://docs.google.com/spreadsheets/d/1Yj_ptqi66GCucihVvJfMjLAmec39IyEx_6qawtMGysU/edit?usp=sharing"",""สบก!DC89"")"),0)</f>
        <v>0</v>
      </c>
      <c r="N314" s="174">
        <f ca="1">IFERROR(__xludf.DUMMYFUNCTION("IMPORTRANGE(""https://docs.google.com/spreadsheets/d/1Yj_ptqi66GCucihVvJfMjLAmec39IyEx_6qawtMGysU/edit?usp=sharing"",""สบก!DD89"")"),0)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IFERROR(__xludf.DUMMYFUNCTION("IMPORTRANGE(""https://docs.google.com/spreadsheets/d/1Yj_ptqi66GCucihVvJfMjLAmec39IyEx_6qawtMGysU/edit?usp=sharing"",""สบก!CY89"")"),0)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IFERROR(__xludf.DUMMYFUNCTION("IMPORTRANGE(""https://docs.google.com/spreadsheets/d/1Yj_ptqi66GCucihVvJfMjLAmec39IyEx_6qawtMGysU/edit?usp=sharing"",""สบก!CZ89"")"),0)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IFERROR(__xludf.DUMMYFUNCTION("IMPORTRANGE(""https://docs.google.com/spreadsheets/d/1Yj_ptqi66GCucihVvJfMjLAmec39IyEx_6qawtMGysU/edit?usp=sharing"",""สบก!DA89"")"),0)</f>
        <v>0</v>
      </c>
      <c r="M318" s="101"/>
      <c r="N318" s="91">
        <f ca="1">IFERROR(__xludf.DUMMYFUNCTION("IMPORTRANGE(""https://docs.google.com/spreadsheets/d/1Yj_ptqi66GCucihVvJfMjLAmec39IyEx_6qawtMGysU/edit?usp=sharing"",""สบก!DE89"")"),0)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IFERROR(__xludf.DUMMYFUNCTION("IMPORTRANGE(""https://docs.google.com/spreadsheets/d/1IYY_tgx_IHuhSq3AJ5eI5OnqOPBNLWSHKh2a30DoXe8/edit?usp=sharing"",""ภูเก็ต!J220"")"),0)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IFERROR(__xludf.DUMMYFUNCTION("IMPORTRANGE(""https://docs.google.com/spreadsheets/d/1IYY_tgx_IHuhSq3AJ5eI5OnqOPBNLWSHKh2a30DoXe8/edit?usp=sharing"",""ภูเก็ต!J221"")"),0)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IFERROR(__xludf.DUMMYFUNCTION("IMPORTRANGE(""https://docs.google.com/spreadsheets/d/1IYY_tgx_IHuhSq3AJ5eI5OnqOPBNLWSHKh2a30DoXe8/edit?usp=sharing"",""ภูเก็ต!J222"")"),0)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IFERROR(__xludf.DUMMYFUNCTION("IMPORTRANGE(""https://docs.google.com/spreadsheets/d/1IYY_tgx_IHuhSq3AJ5eI5OnqOPBNLWSHKh2a30DoXe8/edit?usp=sharing"",""ภูเก็ต!J223"")"),0)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IFERROR(__xludf.DUMMYFUNCTION("IMPORTRANGE(""https://docs.google.com/spreadsheets/d/1IYY_tgx_IHuhSq3AJ5eI5OnqOPBNLWSHKh2a30DoXe8/edit?usp=sharing"",""ภูเก็ต!I224"")"),0)</f>
        <v>0</v>
      </c>
      <c r="J324" s="210">
        <f ca="1">IFERROR(__xludf.DUMMYFUNCTION("IMPORTRANGE(""https://docs.google.com/spreadsheets/d/1IYY_tgx_IHuhSq3AJ5eI5OnqOPBNLWSHKh2a30DoXe8/edit?usp=sharing"",""ภูเก็ต!J224"")"),0)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IFERROR(__xludf.DUMMYFUNCTION("IMPORTRANGE(""https://docs.google.com/spreadsheets/d/1IYY_tgx_IHuhSq3AJ5eI5OnqOPBNLWSHKh2a30DoXe8/edit?usp=sharing"",""ภูเก็ต!J225"")"),0)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IFERROR(__xludf.DUMMYFUNCTION("IMPORTRANGE(""https://docs.google.com/spreadsheets/d/1IYY_tgx_IHuhSq3AJ5eI5OnqOPBNLWSHKh2a30DoXe8/edit?usp=sharing"",""ภูเก็ต!J226"")"),0)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IFERROR(__xludf.DUMMYFUNCTION("IMPORTRANGE(""https://docs.google.com/spreadsheets/d/1IYY_tgx_IHuhSq3AJ5eI5OnqOPBNLWSHKh2a30DoXe8/edit?usp=sharing"",""ภูเก็ต!I228"")"),25)</f>
        <v>25</v>
      </c>
      <c r="J328" s="345">
        <f ca="1">IFERROR(__xludf.DUMMYFUNCTION("IMPORTRANGE(""https://docs.google.com/spreadsheets/d/1IYY_tgx_IHuhSq3AJ5eI5OnqOPBNLWSHKh2a30DoXe8/edit?usp=sharing"",""ภูเก็ต!J228"")"),1)</f>
        <v>1</v>
      </c>
      <c r="K328" s="323">
        <f ca="1">IF(I328&gt;0,J328*100/I328,0)</f>
        <v>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734400</v>
      </c>
      <c r="M329" s="156">
        <f t="shared" ca="1" si="98"/>
        <v>552430</v>
      </c>
      <c r="N329" s="156">
        <f t="shared" ca="1" si="98"/>
        <v>413130.72</v>
      </c>
      <c r="O329" s="155">
        <f t="shared" ref="O329:O331" ca="1" si="99">IF(L329&gt;0,N329*100/L329,0)</f>
        <v>56.254183006535946</v>
      </c>
      <c r="P329" s="155">
        <f t="shared" ref="P329:P331" ca="1" si="100">IF(M329&gt;0,N329*100/M329,0)</f>
        <v>74.784265879839978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734400</v>
      </c>
      <c r="M331" s="161">
        <f t="shared" ca="1" si="102"/>
        <v>552430</v>
      </c>
      <c r="N331" s="161">
        <f t="shared" ca="1" si="102"/>
        <v>413130.72</v>
      </c>
      <c r="O331" s="160">
        <f t="shared" ca="1" si="99"/>
        <v>56.254183006535946</v>
      </c>
      <c r="P331" s="160">
        <f t="shared" ca="1" si="100"/>
        <v>74.784265879839978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696600</v>
      </c>
      <c r="M333" s="173">
        <f ca="1">IFERROR(__xludf.DUMMYFUNCTION("IMPORTRANGE(""https://docs.google.com/spreadsheets/d/1Yj_ptqi66GCucihVvJfMjLAmec39IyEx_6qawtMGysU/edit?usp=sharing"",""สบก!DL89"")"),514630)</f>
        <v>514630</v>
      </c>
      <c r="N333" s="174">
        <f ca="1">IFERROR(__xludf.DUMMYFUNCTION("IMPORTRANGE(""https://docs.google.com/spreadsheets/d/1Yj_ptqi66GCucihVvJfMjLAmec39IyEx_6qawtMGysU/edit?usp=sharing"",""สบก!DM89"")"),375330.72)</f>
        <v>375330.72</v>
      </c>
      <c r="O333" s="175">
        <f ca="1">IF(L333&gt;0,N333*100/L333,0)</f>
        <v>53.880378983634799</v>
      </c>
      <c r="P333" s="175">
        <f ca="1">IF(M333&gt;0,N333*100/M333,0)</f>
        <v>72.932149311155584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IFERROR(__xludf.DUMMYFUNCTION("IMPORTRANGE(""https://docs.google.com/spreadsheets/d/1Yj_ptqi66GCucihVvJfMjLAmec39IyEx_6qawtMGysU/edit?usp=sharing"",""สบก!DH89"")"),495500)</f>
        <v>495500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IFERROR(__xludf.DUMMYFUNCTION("IMPORTRANGE(""https://docs.google.com/spreadsheets/d/1Yj_ptqi66GCucihVvJfMjLAmec39IyEx_6qawtMGysU/edit?usp=sharing"",""สบก!DI89"")"),201100)</f>
        <v>201100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IFERROR(__xludf.DUMMYFUNCTION("IMPORTRANGE(""https://docs.google.com/spreadsheets/d/1Yj_ptqi66GCucihVvJfMjLAmec39IyEx_6qawtMGysU/edit?usp=sharing"",""สบก!DJ89"")"),37800)</f>
        <v>37800</v>
      </c>
      <c r="M337" s="101">
        <f ca="1">L337</f>
        <v>37800</v>
      </c>
      <c r="N337" s="91">
        <f ca="1">IFERROR(__xludf.DUMMYFUNCTION("IMPORTRANGE(""https://docs.google.com/spreadsheets/d/1Yj_ptqi66GCucihVvJfMjLAmec39IyEx_6qawtMGysU/edit?usp=sharing"",""สบก!DN89"")"),37800)</f>
        <v>37800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IFERROR(__xludf.DUMMYFUNCTION("IMPORTRANGE(""https://docs.google.com/spreadsheets/d/1IYY_tgx_IHuhSq3AJ5eI5OnqOPBNLWSHKh2a30DoXe8/edit?usp=sharing"",""ภูเก็ต!I234"")"),0)</f>
        <v>0</v>
      </c>
      <c r="J339" s="194">
        <f ca="1">IFERROR(__xludf.DUMMYFUNCTION("IMPORTRANGE(""https://docs.google.com/spreadsheets/d/1IYY_tgx_IHuhSq3AJ5eI5OnqOPBNLWSHKh2a30DoXe8/edit?usp=sharing"",""ภูเก็ต!J234"")"),5)</f>
        <v>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IFERROR(__xludf.DUMMYFUNCTION("IMPORTRANGE(""https://docs.google.com/spreadsheets/d/1IYY_tgx_IHuhSq3AJ5eI5OnqOPBNLWSHKh2a30DoXe8/edit?usp=sharing"",""ภูเก็ต!I235"")"),200)</f>
        <v>200</v>
      </c>
      <c r="J340" s="194">
        <f ca="1">IFERROR(__xludf.DUMMYFUNCTION("IMPORTRANGE(""https://docs.google.com/spreadsheets/d/1IYY_tgx_IHuhSq3AJ5eI5OnqOPBNLWSHKh2a30DoXe8/edit?usp=sharing"",""ภูเก็ต!J235"")"),6.88)</f>
        <v>6.88</v>
      </c>
      <c r="K340" s="348">
        <f t="shared" ca="1" si="103"/>
        <v>3.44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IFERROR(__xludf.DUMMYFUNCTION("IMPORTRANGE(""https://docs.google.com/spreadsheets/d/1IYY_tgx_IHuhSq3AJ5eI5OnqOPBNLWSHKh2a30DoXe8/edit?usp=sharing"",""ภูเก็ต!I236"")"),25)</f>
        <v>25</v>
      </c>
      <c r="J341" s="194">
        <f ca="1">IFERROR(__xludf.DUMMYFUNCTION("IMPORTRANGE(""https://docs.google.com/spreadsheets/d/1IYY_tgx_IHuhSq3AJ5eI5OnqOPBNLWSHKh2a30DoXe8/edit?usp=sharing"",""ภูเก็ต!J236"")"),5)</f>
        <v>5</v>
      </c>
      <c r="K341" s="348">
        <f t="shared" ca="1" si="103"/>
        <v>20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IFERROR(__xludf.DUMMYFUNCTION("IMPORTRANGE(""https://docs.google.com/spreadsheets/d/1IYY_tgx_IHuhSq3AJ5eI5OnqOPBNLWSHKh2a30DoXe8/edit?usp=sharing"",""ภูเก็ต!I237"")"),0)</f>
        <v>0</v>
      </c>
      <c r="J342" s="194">
        <f ca="1">IFERROR(__xludf.DUMMYFUNCTION("IMPORTRANGE(""https://docs.google.com/spreadsheets/d/1IYY_tgx_IHuhSq3AJ5eI5OnqOPBNLWSHKh2a30DoXe8/edit?usp=sharing"",""ภูเก็ต!J237"")"),6.88)</f>
        <v>6.88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IFERROR(__xludf.DUMMYFUNCTION("IMPORTRANGE(""https://docs.google.com/spreadsheets/d/1IYY_tgx_IHuhSq3AJ5eI5OnqOPBNLWSHKh2a30DoXe8/edit?usp=sharing"",""ภูเก็ต!I238"")"),25)</f>
        <v>25</v>
      </c>
      <c r="J343" s="194">
        <f ca="1">IFERROR(__xludf.DUMMYFUNCTION("IMPORTRANGE(""https://docs.google.com/spreadsheets/d/1IYY_tgx_IHuhSq3AJ5eI5OnqOPBNLWSHKh2a30DoXe8/edit?usp=sharing"",""ภูเก็ต!J238"")"),0)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IFERROR(__xludf.DUMMYFUNCTION("IMPORTRANGE(""https://docs.google.com/spreadsheets/d/1IYY_tgx_IHuhSq3AJ5eI5OnqOPBNLWSHKh2a30DoXe8/edit?usp=sharing"",""ภูเก็ต!I239"")"),0)</f>
        <v>0</v>
      </c>
      <c r="J344" s="194">
        <f ca="1">IFERROR(__xludf.DUMMYFUNCTION("IMPORTRANGE(""https://docs.google.com/spreadsheets/d/1IYY_tgx_IHuhSq3AJ5eI5OnqOPBNLWSHKh2a30DoXe8/edit?usp=sharing"",""ภูเก็ต!J239"")"),0)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IFERROR(__xludf.DUMMYFUNCTION("IMPORTRANGE(""https://docs.google.com/spreadsheets/d/1IYY_tgx_IHuhSq3AJ5eI5OnqOPBNLWSHKh2a30DoXe8/edit?usp=sharing"",""ภูเก็ต!I240"")"),25)</f>
        <v>25</v>
      </c>
      <c r="J345" s="194">
        <f ca="1">IFERROR(__xludf.DUMMYFUNCTION("IMPORTRANGE(""https://docs.google.com/spreadsheets/d/1IYY_tgx_IHuhSq3AJ5eI5OnqOPBNLWSHKh2a30DoXe8/edit?usp=sharing"",""ภูเก็ต!J240"")"),1)</f>
        <v>1</v>
      </c>
      <c r="K345" s="348">
        <f t="shared" ca="1" si="103"/>
        <v>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IFERROR(__xludf.DUMMYFUNCTION("IMPORTRANGE(""https://docs.google.com/spreadsheets/d/1IYY_tgx_IHuhSq3AJ5eI5OnqOPBNLWSHKh2a30DoXe8/edit?usp=sharing"",""ภูเก็ต!I241"")"),0)</f>
        <v>0</v>
      </c>
      <c r="J346" s="194">
        <f ca="1">IFERROR(__xludf.DUMMYFUNCTION("IMPORTRANGE(""https://docs.google.com/spreadsheets/d/1IYY_tgx_IHuhSq3AJ5eI5OnqOPBNLWSHKh2a30DoXe8/edit?usp=sharing"",""ภูเก็ต!J241"")"),1.05)</f>
        <v>1.05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IFERROR(__xludf.DUMMYFUNCTION("IMPORTRANGE(""https://docs.google.com/spreadsheets/d/1IYY_tgx_IHuhSq3AJ5eI5OnqOPBNLWSHKh2a30DoXe8/edit?usp=sharing"",""ภูเก็ต!L242"")"),523070)</f>
        <v>523070</v>
      </c>
      <c r="M347" s="364"/>
      <c r="N347" s="364">
        <f ca="1">IFERROR(__xludf.DUMMYFUNCTION("IMPORTRANGE(""https://docs.google.com/spreadsheets/d/1IYY_tgx_IHuhSq3AJ5eI5OnqOPBNLWSHKh2a30DoXe8/edit?usp=sharing"",""ภูเก็ต!M242"")"),254477)</f>
        <v>254477</v>
      </c>
      <c r="O347" s="364">
        <f ca="1">+IF(L347&gt;0,N347*100/L347,0)</f>
        <v>48.650658611658095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IFERROR(__xludf.DUMMYFUNCTION("IMPORTRANGE(""https://docs.google.com/spreadsheets/d/1IYY_tgx_IHuhSq3AJ5eI5OnqOPBNLWSHKh2a30DoXe8/edit?usp=sharing"",""ภูเก็ต!I244"")"),40)</f>
        <v>40</v>
      </c>
      <c r="J349" s="377">
        <f ca="1">IFERROR(__xludf.DUMMYFUNCTION("IMPORTRANGE(""https://docs.google.com/spreadsheets/d/1IYY_tgx_IHuhSq3AJ5eI5OnqOPBNLWSHKh2a30DoXe8/edit?usp=sharing"",""ภูเก็ต!J244"")"),0)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IFERROR(__xludf.DUMMYFUNCTION("IMPORTRANGE(""https://docs.google.com/spreadsheets/d/1IYY_tgx_IHuhSq3AJ5eI5OnqOPBNLWSHKh2a30DoXe8/edit?usp=sharing"",""ภูเก็ต!L244"")"),89120)</f>
        <v>89120</v>
      </c>
      <c r="M349" s="379"/>
      <c r="N349" s="379">
        <f ca="1">IFERROR(__xludf.DUMMYFUNCTION("IMPORTRANGE(""https://docs.google.com/spreadsheets/d/1IYY_tgx_IHuhSq3AJ5eI5OnqOPBNLWSHKh2a30DoXe8/edit?usp=sharing"",""ภูเก็ต!M244"")"),40217)</f>
        <v>40217</v>
      </c>
      <c r="O349" s="379">
        <f ca="1">+IF(L349&gt;0,N349*100/L349,0)</f>
        <v>45.126795332136446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IFERROR(__xludf.DUMMYFUNCTION("IMPORTRANGE(""https://docs.google.com/spreadsheets/d/1IYY_tgx_IHuhSq3AJ5eI5OnqOPBNLWSHKh2a30DoXe8/edit?usp=sharing"",""ภูเก็ต!I245"")"),20)</f>
        <v>20</v>
      </c>
      <c r="J350" s="377">
        <f ca="1">IFERROR(__xludf.DUMMYFUNCTION("IMPORTRANGE(""https://docs.google.com/spreadsheets/d/1IYY_tgx_IHuhSq3AJ5eI5OnqOPBNLWSHKh2a30DoXe8/edit?usp=sharing"",""ภูเก็ต!J245"")"),20)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IFERROR(__xludf.DUMMYFUNCTION("IMPORTRANGE(""https://docs.google.com/spreadsheets/d/1IYY_tgx_IHuhSq3AJ5eI5OnqOPBNLWSHKh2a30DoXe8/edit?usp=sharing"",""ภูเก็ต!L246"")"),0)</f>
        <v>0</v>
      </c>
      <c r="M351" s="168"/>
      <c r="N351" s="168">
        <f ca="1">IFERROR(__xludf.DUMMYFUNCTION("IMPORTRANGE(""https://docs.google.com/spreadsheets/d/1IYY_tgx_IHuhSq3AJ5eI5OnqOPBNLWSHKh2a30DoXe8/edit?usp=sharing"",""ภูเก็ต!M246"")"),0)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IFERROR(__xludf.DUMMYFUNCTION("IMPORTRANGE(""https://docs.google.com/spreadsheets/d/1IYY_tgx_IHuhSq3AJ5eI5OnqOPBNLWSHKh2a30DoXe8/edit?usp=sharing"",""ภูเก็ต!L247"")"),89120)</f>
        <v>89120</v>
      </c>
      <c r="M352" s="169"/>
      <c r="N352" s="168">
        <f ca="1">IFERROR(__xludf.DUMMYFUNCTION("IMPORTRANGE(""https://docs.google.com/spreadsheets/d/1IYY_tgx_IHuhSq3AJ5eI5OnqOPBNLWSHKh2a30DoXe8/edit?usp=sharing"",""ภูเก็ต!M247"")"),40217)</f>
        <v>40217</v>
      </c>
      <c r="O352" s="169">
        <f t="shared" ca="1" si="105"/>
        <v>45.126795332136446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IFERROR(__xludf.DUMMYFUNCTION("IMPORTRANGE(""https://docs.google.com/spreadsheets/d/1IYY_tgx_IHuhSq3AJ5eI5OnqOPBNLWSHKh2a30DoXe8/edit?usp=sharing"",""ภูเก็ต!L248"")"),0)</f>
        <v>0</v>
      </c>
      <c r="M353" s="175"/>
      <c r="N353" s="175">
        <f ca="1">IFERROR(__xludf.DUMMYFUNCTION("IMPORTRANGE(""https://docs.google.com/spreadsheets/d/1IYY_tgx_IHuhSq3AJ5eI5OnqOPBNLWSHKh2a30DoXe8/edit?usp=sharing"",""ภูเก็ต!M248"")"),0)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IFERROR(__xludf.DUMMYFUNCTION("IMPORTRANGE(""https://docs.google.com/spreadsheets/d/1IYY_tgx_IHuhSq3AJ5eI5OnqOPBNLWSHKh2a30DoXe8/edit?usp=sharing"",""ภูเก็ต!L249"")"),89120)</f>
        <v>89120</v>
      </c>
      <c r="M354" s="175"/>
      <c r="N354" s="172">
        <f ca="1">IFERROR(__xludf.DUMMYFUNCTION("IMPORTRANGE(""https://docs.google.com/spreadsheets/d/1IYY_tgx_IHuhSq3AJ5eI5OnqOPBNLWSHKh2a30DoXe8/edit?usp=sharing"",""ภูเก็ต!M249"")"),40217)</f>
        <v>40217</v>
      </c>
      <c r="O354" s="175">
        <f t="shared" ca="1" si="105"/>
        <v>45.126795332136446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IFERROR(__xludf.DUMMYFUNCTION("IMPORTRANGE(""https://docs.google.com/spreadsheets/d/1IYY_tgx_IHuhSq3AJ5eI5OnqOPBNLWSHKh2a30DoXe8/edit?usp=sharing"",""ภูเก็ต!M250"")"),27600)</f>
        <v>27600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IFERROR(__xludf.DUMMYFUNCTION("IMPORTRANGE(""https://docs.google.com/spreadsheets/d/1IYY_tgx_IHuhSq3AJ5eI5OnqOPBNLWSHKh2a30DoXe8/edit?usp=sharing"",""ภูเก็ต!M251"")"),0)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IFERROR(__xludf.DUMMYFUNCTION("IMPORTRANGE(""https://docs.google.com/spreadsheets/d/1IYY_tgx_IHuhSq3AJ5eI5OnqOPBNLWSHKh2a30DoXe8/edit?usp=sharing"",""ภูเก็ต!M252"")"),0)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IFERROR(__xludf.DUMMYFUNCTION("IMPORTRANGE(""https://docs.google.com/spreadsheets/d/1IYY_tgx_IHuhSq3AJ5eI5OnqOPBNLWSHKh2a30DoXe8/edit?usp=sharing"",""ภูเก็ต!M253"")"),12617)</f>
        <v>12617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IFERROR(__xludf.DUMMYFUNCTION("IMPORTRANGE(""https://docs.google.com/spreadsheets/d/1IYY_tgx_IHuhSq3AJ5eI5OnqOPBNLWSHKh2a30DoXe8/edit?usp=sharing"",""ภูเก็ต!J255"")"),0)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IFERROR(__xludf.DUMMYFUNCTION("IMPORTRANGE(""https://docs.google.com/spreadsheets/d/1IYY_tgx_IHuhSq3AJ5eI5OnqOPBNLWSHKh2a30DoXe8/edit?usp=sharing"",""ภูเก็ต!J256"")"),1)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IFERROR(__xludf.DUMMYFUNCTION("IMPORTRANGE(""https://docs.google.com/spreadsheets/d/1IYY_tgx_IHuhSq3AJ5eI5OnqOPBNLWSHKh2a30DoXe8/edit?usp=sharing"",""ภูเก็ต!J257"")"),1)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IFERROR(__xludf.DUMMYFUNCTION("IMPORTRANGE(""https://docs.google.com/spreadsheets/d/1IYY_tgx_IHuhSq3AJ5eI5OnqOPBNLWSHKh2a30DoXe8/edit?usp=sharing"",""ภูเก็ต!J258"")"),1)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IFERROR(__xludf.DUMMYFUNCTION("IMPORTRANGE(""https://docs.google.com/spreadsheets/d/1IYY_tgx_IHuhSq3AJ5eI5OnqOPBNLWSHKh2a30DoXe8/edit?usp=sharing"",""ภูเก็ต!J166"")"),0)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IFERROR(__xludf.DUMMYFUNCTION("IMPORTRANGE(""https://docs.google.com/spreadsheets/d/1IYY_tgx_IHuhSq3AJ5eI5OnqOPBNLWSHKh2a30DoXe8/edit?usp=sharing"",""ภูเก็ต!J166"")"),0)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IFERROR(__xludf.DUMMYFUNCTION("IMPORTRANGE(""https://docs.google.com/spreadsheets/d/1IYY_tgx_IHuhSq3AJ5eI5OnqOPBNLWSHKh2a30DoXe8/edit?usp=sharing"",""ภูเก็ต!J166"")"),0)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IFERROR(__xludf.DUMMYFUNCTION("IMPORTRANGE(""https://docs.google.com/spreadsheets/d/1IYY_tgx_IHuhSq3AJ5eI5OnqOPBNLWSHKh2a30DoXe8/edit?usp=sharing"",""ภูเก็ต!J166"")"),0)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IFERROR(__xludf.DUMMYFUNCTION("IMPORTRANGE(""https://docs.google.com/spreadsheets/d/1IYY_tgx_IHuhSq3AJ5eI5OnqOPBNLWSHKh2a30DoXe8/edit?usp=sharing"",""ภูเก็ต!I263"")"),20)</f>
        <v>20</v>
      </c>
      <c r="J368" s="194">
        <f ca="1">IFERROR(__xludf.DUMMYFUNCTION("IMPORTRANGE(""https://docs.google.com/spreadsheets/d/1IYY_tgx_IHuhSq3AJ5eI5OnqOPBNLWSHKh2a30DoXe8/edit?usp=sharing"",""ภูเก็ต!J263"")"),20)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IFERROR(__xludf.DUMMYFUNCTION("IMPORTRANGE(""https://docs.google.com/spreadsheets/d/1IYY_tgx_IHuhSq3AJ5eI5OnqOPBNLWSHKh2a30DoXe8/edit?usp=sharing"",""ภูเก็ต!I164"")"),0)</f>
        <v>0</v>
      </c>
      <c r="J369" s="210">
        <f ca="1">IFERROR(__xludf.DUMMYFUNCTION("IMPORTRANGE(""https://docs.google.com/spreadsheets/d/1IYY_tgx_IHuhSq3AJ5eI5OnqOPBNLWSHKh2a30DoXe8/edit?usp=sharing"",""ภูเก็ต!J164"")"),0)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IFERROR(__xludf.DUMMYFUNCTION("IMPORTRANGE(""https://docs.google.com/spreadsheets/d/1IYY_tgx_IHuhSq3AJ5eI5OnqOPBNLWSHKh2a30DoXe8/edit?usp=sharing"",""ภูเก็ต!I265"")"),20)</f>
        <v>20</v>
      </c>
      <c r="J370" s="210">
        <f ca="1">IFERROR(__xludf.DUMMYFUNCTION("IMPORTRANGE(""https://docs.google.com/spreadsheets/d/1IYY_tgx_IHuhSq3AJ5eI5OnqOPBNLWSHKh2a30DoXe8/edit?usp=sharing"",""ภูเก็ต!J265"")"),20)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IFERROR(__xludf.DUMMYFUNCTION("IMPORTRANGE(""https://docs.google.com/spreadsheets/d/1IYY_tgx_IHuhSq3AJ5eI5OnqOPBNLWSHKh2a30DoXe8/edit?usp=sharing"",""ภูเก็ต!I164"")"),0)</f>
        <v>0</v>
      </c>
      <c r="J371" s="195">
        <f ca="1">IFERROR(__xludf.DUMMYFUNCTION("IMPORTRANGE(""https://docs.google.com/spreadsheets/d/1IYY_tgx_IHuhSq3AJ5eI5OnqOPBNLWSHKh2a30DoXe8/edit?usp=sharing"",""ภูเก็ต!J164"")"),0)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IFERROR(__xludf.DUMMYFUNCTION("IMPORTRANGE(""https://docs.google.com/spreadsheets/d/1IYY_tgx_IHuhSq3AJ5eI5OnqOPBNLWSHKh2a30DoXe8/edit?usp=sharing"",""ภูเก็ต!I267"")"),20)</f>
        <v>20</v>
      </c>
      <c r="J372" s="195">
        <f ca="1">IFERROR(__xludf.DUMMYFUNCTION("IMPORTRANGE(""https://docs.google.com/spreadsheets/d/1IYY_tgx_IHuhSq3AJ5eI5OnqOPBNLWSHKh2a30DoXe8/edit?usp=sharing"",""ภูเก็ต!J267"")"),20)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IFERROR(__xludf.DUMMYFUNCTION("IMPORTRANGE(""https://docs.google.com/spreadsheets/d/1IYY_tgx_IHuhSq3AJ5eI5OnqOPBNLWSHKh2a30DoXe8/edit?usp=sharing"",""ภูเก็ต!I164"")"),0)</f>
        <v>0</v>
      </c>
      <c r="J373" s="210">
        <f ca="1">IFERROR(__xludf.DUMMYFUNCTION("IMPORTRANGE(""https://docs.google.com/spreadsheets/d/1IYY_tgx_IHuhSq3AJ5eI5OnqOPBNLWSHKh2a30DoXe8/edit?usp=sharing"",""ภูเก็ต!J164"")"),0)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IFERROR(__xludf.DUMMYFUNCTION("IMPORTRANGE(""https://docs.google.com/spreadsheets/d/1IYY_tgx_IHuhSq3AJ5eI5OnqOPBNLWSHKh2a30DoXe8/edit?usp=sharing"",""ภูเก็ต!I164"")"),0)</f>
        <v>0</v>
      </c>
      <c r="J374" s="194">
        <f ca="1">IFERROR(__xludf.DUMMYFUNCTION("IMPORTRANGE(""https://docs.google.com/spreadsheets/d/1IYY_tgx_IHuhSq3AJ5eI5OnqOPBNLWSHKh2a30DoXe8/edit?usp=sharing"",""ภูเก็ต!J164"")"),0)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IFERROR(__xludf.DUMMYFUNCTION("IMPORTRANGE(""https://docs.google.com/spreadsheets/d/1IYY_tgx_IHuhSq3AJ5eI5OnqOPBNLWSHKh2a30DoXe8/edit?usp=sharing"",""ภูเก็ต!I270"")"),40)</f>
        <v>40</v>
      </c>
      <c r="J375" s="194">
        <f ca="1">IFERROR(__xludf.DUMMYFUNCTION("IMPORTRANGE(""https://docs.google.com/spreadsheets/d/1IYY_tgx_IHuhSq3AJ5eI5OnqOPBNLWSHKh2a30DoXe8/edit?usp=sharing"",""ภูเก็ต!J270"")"),0)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IFERROR(__xludf.DUMMYFUNCTION("IMPORTRANGE(""https://docs.google.com/spreadsheets/d/1IYY_tgx_IHuhSq3AJ5eI5OnqOPBNLWSHKh2a30DoXe8/edit?usp=sharing"",""ภูเก็ต!I271"")"),0)</f>
        <v>0</v>
      </c>
      <c r="J376" s="195">
        <f ca="1">IFERROR(__xludf.DUMMYFUNCTION("IMPORTRANGE(""https://docs.google.com/spreadsheets/d/1IYY_tgx_IHuhSq3AJ5eI5OnqOPBNLWSHKh2a30DoXe8/edit?usp=sharing"",""ภูเก็ต!J271"")"),0)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IFERROR(__xludf.DUMMYFUNCTION("IMPORTRANGE(""https://docs.google.com/spreadsheets/d/1IYY_tgx_IHuhSq3AJ5eI5OnqOPBNLWSHKh2a30DoXe8/edit?usp=sharing"",""ภูเก็ต!I272"")"),40)</f>
        <v>40</v>
      </c>
      <c r="J377" s="210">
        <f ca="1">IFERROR(__xludf.DUMMYFUNCTION("IMPORTRANGE(""https://docs.google.com/spreadsheets/d/1IYY_tgx_IHuhSq3AJ5eI5OnqOPBNLWSHKh2a30DoXe8/edit?usp=sharing"",""ภูเก็ต!J272"")"),0)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IFERROR(__xludf.DUMMYFUNCTION("IMPORTRANGE(""https://docs.google.com/spreadsheets/d/1IYY_tgx_IHuhSq3AJ5eI5OnqOPBNLWSHKh2a30DoXe8/edit?usp=sharing"",""ภูเก็ต!J273"")"),0)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IFERROR(__xludf.DUMMYFUNCTION("IMPORTRANGE(""https://docs.google.com/spreadsheets/d/1IYY_tgx_IHuhSq3AJ5eI5OnqOPBNLWSHKh2a30DoXe8/edit?usp=sharing"",""ภูเก็ต!J274"")"),0)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IFERROR(__xludf.DUMMYFUNCTION("IMPORTRANGE(""https://docs.google.com/spreadsheets/d/1IYY_tgx_IHuhSq3AJ5eI5OnqOPBNLWSHKh2a30DoXe8/edit?usp=sharing"",""ภูเก็ต!I275"")"),50)</f>
        <v>50</v>
      </c>
      <c r="J380" s="377">
        <f ca="1">IFERROR(__xludf.DUMMYFUNCTION("IMPORTRANGE(""https://docs.google.com/spreadsheets/d/1IYY_tgx_IHuhSq3AJ5eI5OnqOPBNLWSHKh2a30DoXe8/edit?usp=sharing"",""ภูเก็ต!J275"")"),0)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IFERROR(__xludf.DUMMYFUNCTION("IMPORTRANGE(""https://docs.google.com/spreadsheets/d/1IYY_tgx_IHuhSq3AJ5eI5OnqOPBNLWSHKh2a30DoXe8/edit?usp=sharing"",""ภูเก็ต!L275"")"),87710)</f>
        <v>87710</v>
      </c>
      <c r="M380" s="379"/>
      <c r="N380" s="379">
        <f ca="1">IFERROR(__xludf.DUMMYFUNCTION("IMPORTRANGE(""https://docs.google.com/spreadsheets/d/1IYY_tgx_IHuhSq3AJ5eI5OnqOPBNLWSHKh2a30DoXe8/edit?usp=sharing"",""ภูเก็ต!M275"")"),32700)</f>
        <v>32700</v>
      </c>
      <c r="O380" s="379">
        <f ca="1">+IF(L380&gt;0,N380*100/L380,0)</f>
        <v>37.281951886900011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IFERROR(__xludf.DUMMYFUNCTION("IMPORTRANGE(""https://docs.google.com/spreadsheets/d/1IYY_tgx_IHuhSq3AJ5eI5OnqOPBNLWSHKh2a30DoXe8/edit?usp=sharing"",""ภูเก็ต!I276"")"),5)</f>
        <v>5</v>
      </c>
      <c r="J381" s="377">
        <f ca="1">IFERROR(__xludf.DUMMYFUNCTION("IMPORTRANGE(""https://docs.google.com/spreadsheets/d/1IYY_tgx_IHuhSq3AJ5eI5OnqOPBNLWSHKh2a30DoXe8/edit?usp=sharing"",""ภูเก็ต!J276"")"),5)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IFERROR(__xludf.DUMMYFUNCTION("IMPORTRANGE(""https://docs.google.com/spreadsheets/d/1IYY_tgx_IHuhSq3AJ5eI5OnqOPBNLWSHKh2a30DoXe8/edit?usp=sharing"",""ภูเก็ต!L277"")"),0)</f>
        <v>0</v>
      </c>
      <c r="M382" s="168"/>
      <c r="N382" s="168">
        <f ca="1">IFERROR(__xludf.DUMMYFUNCTION("IMPORTRANGE(""https://docs.google.com/spreadsheets/d/1IYY_tgx_IHuhSq3AJ5eI5OnqOPBNLWSHKh2a30DoXe8/edit?usp=sharing"",""ภูเก็ต!M277"")"),0)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IFERROR(__xludf.DUMMYFUNCTION("IMPORTRANGE(""https://docs.google.com/spreadsheets/d/1IYY_tgx_IHuhSq3AJ5eI5OnqOPBNLWSHKh2a30DoXe8/edit?usp=sharing"",""ภูเก็ต!L278"")"),87710)</f>
        <v>87710</v>
      </c>
      <c r="M383" s="169"/>
      <c r="N383" s="169">
        <f ca="1">IFERROR(__xludf.DUMMYFUNCTION("IMPORTRANGE(""https://docs.google.com/spreadsheets/d/1IYY_tgx_IHuhSq3AJ5eI5OnqOPBNLWSHKh2a30DoXe8/edit?usp=sharing"",""ภูเก็ต!M278"")"),32700)</f>
        <v>32700</v>
      </c>
      <c r="O383" s="169">
        <f t="shared" ca="1" si="109"/>
        <v>37.281951886900011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IFERROR(__xludf.DUMMYFUNCTION("IMPORTRANGE(""https://docs.google.com/spreadsheets/d/1IYY_tgx_IHuhSq3AJ5eI5OnqOPBNLWSHKh2a30DoXe8/edit?usp=sharing"",""ภูเก็ต!L279"")"),0)</f>
        <v>0</v>
      </c>
      <c r="M384" s="175"/>
      <c r="N384" s="175">
        <f ca="1">IFERROR(__xludf.DUMMYFUNCTION("IMPORTRANGE(""https://docs.google.com/spreadsheets/d/1IYY_tgx_IHuhSq3AJ5eI5OnqOPBNLWSHKh2a30DoXe8/edit?usp=sharing"",""ภูเก็ต!M279"")"),0)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IFERROR(__xludf.DUMMYFUNCTION("IMPORTRANGE(""https://docs.google.com/spreadsheets/d/1IYY_tgx_IHuhSq3AJ5eI5OnqOPBNLWSHKh2a30DoXe8/edit?usp=sharing"",""ภูเก็ต!L280"")"),87710)</f>
        <v>87710</v>
      </c>
      <c r="M385" s="175"/>
      <c r="N385" s="172">
        <f ca="1">IFERROR(__xludf.DUMMYFUNCTION("IMPORTRANGE(""https://docs.google.com/spreadsheets/d/1IYY_tgx_IHuhSq3AJ5eI5OnqOPBNLWSHKh2a30DoXe8/edit?usp=sharing"",""ภูเก็ต!M280"")"),32700)</f>
        <v>32700</v>
      </c>
      <c r="O385" s="175">
        <f t="shared" ca="1" si="109"/>
        <v>37.281951886900011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IFERROR(__xludf.DUMMYFUNCTION("IMPORTRANGE(""https://docs.google.com/spreadsheets/d/1IYY_tgx_IHuhSq3AJ5eI5OnqOPBNLWSHKh2a30DoXe8/edit?usp=sharing"",""ภูเก็ต!M281"")"),32700)</f>
        <v>32700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IFERROR(__xludf.DUMMYFUNCTION("IMPORTRANGE(""https://docs.google.com/spreadsheets/d/1IYY_tgx_IHuhSq3AJ5eI5OnqOPBNLWSHKh2a30DoXe8/edit?usp=sharing"",""ภูเก็ต!M282"")"),0)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IFERROR(__xludf.DUMMYFUNCTION("IMPORTRANGE(""https://docs.google.com/spreadsheets/d/1IYY_tgx_IHuhSq3AJ5eI5OnqOPBNLWSHKh2a30DoXe8/edit?usp=sharing"",""ภูเก็ต!M283"")"),0)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IFERROR(__xludf.DUMMYFUNCTION("IMPORTRANGE(""https://docs.google.com/spreadsheets/d/1IYY_tgx_IHuhSq3AJ5eI5OnqOPBNLWSHKh2a30DoXe8/edit?usp=sharing"",""ภูเก็ต!M284"")"),0)</f>
        <v>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IFERROR(__xludf.DUMMYFUNCTION("IMPORTRANGE(""https://docs.google.com/spreadsheets/d/1IYY_tgx_IHuhSq3AJ5eI5OnqOPBNLWSHKh2a30DoXe8/edit?usp=sharing"",""ภูเก็ต!J286"")"),0)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IFERROR(__xludf.DUMMYFUNCTION("IMPORTRANGE(""https://docs.google.com/spreadsheets/d/1IYY_tgx_IHuhSq3AJ5eI5OnqOPBNLWSHKh2a30DoXe8/edit?usp=sharing"",""ภูเก็ต!J287"")"),1)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IFERROR(__xludf.DUMMYFUNCTION("IMPORTRANGE(""https://docs.google.com/spreadsheets/d/1IYY_tgx_IHuhSq3AJ5eI5OnqOPBNLWSHKh2a30DoXe8/edit?usp=sharing"",""ภูเก็ต!J288"")"),1)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IFERROR(__xludf.DUMMYFUNCTION("IMPORTRANGE(""https://docs.google.com/spreadsheets/d/1IYY_tgx_IHuhSq3AJ5eI5OnqOPBNLWSHKh2a30DoXe8/edit?usp=sharing"",""ภูเก็ต!J289"")"),1)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IFERROR(__xludf.DUMMYFUNCTION("IMPORTRANGE(""https://docs.google.com/spreadsheets/d/1IYY_tgx_IHuhSq3AJ5eI5OnqOPBNLWSHKh2a30DoXe8/edit?usp=sharing"",""ภูเก็ต!I291"")"),5)</f>
        <v>5</v>
      </c>
      <c r="J396" s="204">
        <f ca="1">IFERROR(__xludf.DUMMYFUNCTION("IMPORTRANGE(""https://docs.google.com/spreadsheets/d/1IYY_tgx_IHuhSq3AJ5eI5OnqOPBNLWSHKh2a30DoXe8/edit?usp=sharing"",""ภูเก็ต!J291"")"),5)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IFERROR(__xludf.DUMMYFUNCTION("IMPORTRANGE(""https://docs.google.com/spreadsheets/d/1IYY_tgx_IHuhSq3AJ5eI5OnqOPBNLWSHKh2a30DoXe8/edit?usp=sharing"",""ภูเก็ต!I292"")"),50)</f>
        <v>50</v>
      </c>
      <c r="J397" s="204">
        <f ca="1">IFERROR(__xludf.DUMMYFUNCTION("IMPORTRANGE(""https://docs.google.com/spreadsheets/d/1IYY_tgx_IHuhSq3AJ5eI5OnqOPBNLWSHKh2a30DoXe8/edit?usp=sharing"",""ภูเก็ต!J292"")"),0)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IFERROR(__xludf.DUMMYFUNCTION("IMPORTRANGE(""https://docs.google.com/spreadsheets/d/1IYY_tgx_IHuhSq3AJ5eI5OnqOPBNLWSHKh2a30DoXe8/edit?usp=sharing"",""ภูเก็ต!I293"")"),5)</f>
        <v>5</v>
      </c>
      <c r="J398" s="204">
        <f ca="1">IFERROR(__xludf.DUMMYFUNCTION("IMPORTRANGE(""https://docs.google.com/spreadsheets/d/1IYY_tgx_IHuhSq3AJ5eI5OnqOPBNLWSHKh2a30DoXe8/edit?usp=sharing"",""ภูเก็ต!J293"")"),0)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IFERROR(__xludf.DUMMYFUNCTION("IMPORTRANGE(""https://docs.google.com/spreadsheets/d/1IYY_tgx_IHuhSq3AJ5eI5OnqOPBNLWSHKh2a30DoXe8/edit?usp=sharing"",""ภูเก็ต!J294"")"),0)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IFERROR(__xludf.DUMMYFUNCTION("IMPORTRANGE(""https://docs.google.com/spreadsheets/d/1IYY_tgx_IHuhSq3AJ5eI5OnqOPBNLWSHKh2a30DoXe8/edit?usp=sharing"",""ภูเก็ต!J295"")"),0)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IFERROR(__xludf.DUMMYFUNCTION("IMPORTRANGE(""https://docs.google.com/spreadsheets/d/1IYY_tgx_IHuhSq3AJ5eI5OnqOPBNLWSHKh2a30DoXe8/edit?usp=sharing"",""ภูเก็ต!I296"")"),90)</f>
        <v>90</v>
      </c>
      <c r="J401" s="377">
        <f ca="1">IFERROR(__xludf.DUMMYFUNCTION("IMPORTRANGE(""https://docs.google.com/spreadsheets/d/1IYY_tgx_IHuhSq3AJ5eI5OnqOPBNLWSHKh2a30DoXe8/edit?usp=sharing"",""ภูเก็ต!J296"")"),90)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IFERROR(__xludf.DUMMYFUNCTION("IMPORTRANGE(""https://docs.google.com/spreadsheets/d/1IYY_tgx_IHuhSq3AJ5eI5OnqOPBNLWSHKh2a30DoXe8/edit?usp=sharing"",""ภูเก็ต!L296"")"),116320)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IFERROR(__xludf.DUMMYFUNCTION("IMPORTRANGE(""https://docs.google.com/spreadsheets/d/1IYY_tgx_IHuhSq3AJ5eI5OnqOPBNLWSHKh2a30DoXe8/edit?usp=sharing"",""ภูเก็ต!M296"")"),83830)</f>
        <v>83830</v>
      </c>
      <c r="O401" s="379">
        <f ca="1">+IF(L401&gt;0,N401*100/L401,0)</f>
        <v>72.068431911966982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IFERROR(__xludf.DUMMYFUNCTION("IMPORTRANGE(""https://docs.google.com/spreadsheets/d/1IYY_tgx_IHuhSq3AJ5eI5OnqOPBNLWSHKh2a30DoXe8/edit?usp=sharing"",""ภูเก็ต!I297"")"),30)</f>
        <v>30</v>
      </c>
      <c r="J402" s="377">
        <f ca="1">IFERROR(__xludf.DUMMYFUNCTION("IMPORTRANGE(""https://docs.google.com/spreadsheets/d/1IYY_tgx_IHuhSq3AJ5eI5OnqOPBNLWSHKh2a30DoXe8/edit?usp=sharing"",""ภูเก็ต!J297"")"),30)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IFERROR(__xludf.DUMMYFUNCTION("IMPORTRANGE(""https://docs.google.com/spreadsheets/d/1IYY_tgx_IHuhSq3AJ5eI5OnqOPBNLWSHKh2a30DoXe8/edit?usp=sharing"",""ภูเก็ต!L298"")"),0)</f>
        <v>0</v>
      </c>
      <c r="M403" s="168"/>
      <c r="N403" s="175">
        <f ca="1">IFERROR(__xludf.DUMMYFUNCTION("IMPORTRANGE(""https://docs.google.com/spreadsheets/d/1IYY_tgx_IHuhSq3AJ5eI5OnqOPBNLWSHKh2a30DoXe8/edit?usp=sharing"",""ภูเก็ต!M298"")"),0)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IFERROR(__xludf.DUMMYFUNCTION("IMPORTRANGE(""https://docs.google.com/spreadsheets/d/1IYY_tgx_IHuhSq3AJ5eI5OnqOPBNLWSHKh2a30DoXe8/edit?usp=sharing"",""ภูเก็ต!L299"")"),116320)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IFERROR(__xludf.DUMMYFUNCTION("IMPORTRANGE(""https://docs.google.com/spreadsheets/d/1IYY_tgx_IHuhSq3AJ5eI5OnqOPBNLWSHKh2a30DoXe8/edit?usp=sharing"",""ภูเก็ต!M299"")"),83830)</f>
        <v>83830</v>
      </c>
      <c r="O404" s="175">
        <f t="shared" ca="1" si="112"/>
        <v>72.068431911966982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IFERROR(__xludf.DUMMYFUNCTION("IMPORTRANGE(""https://docs.google.com/spreadsheets/d/1IYY_tgx_IHuhSq3AJ5eI5OnqOPBNLWSHKh2a30DoXe8/edit?usp=sharing"",""ภูเก็ต!L300"")"),0)</f>
        <v>0</v>
      </c>
      <c r="M405" s="175"/>
      <c r="N405" s="175">
        <f ca="1">IFERROR(__xludf.DUMMYFUNCTION("IMPORTRANGE(""https://docs.google.com/spreadsheets/d/1IYY_tgx_IHuhSq3AJ5eI5OnqOPBNLWSHKh2a30DoXe8/edit?usp=sharing"",""ภูเก็ต!M300"")"),0)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IFERROR(__xludf.DUMMYFUNCTION("IMPORTRANGE(""https://docs.google.com/spreadsheets/d/1IYY_tgx_IHuhSq3AJ5eI5OnqOPBNLWSHKh2a30DoXe8/edit?usp=sharing"",""ภูเก็ต!L301"")"),116320)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IFERROR(__xludf.DUMMYFUNCTION("IMPORTRANGE(""https://docs.google.com/spreadsheets/d/1IYY_tgx_IHuhSq3AJ5eI5OnqOPBNLWSHKh2a30DoXe8/edit?usp=sharing"",""ภูเก็ต!M301"")"),83830)</f>
        <v>83830</v>
      </c>
      <c r="O406" s="175">
        <f t="shared" ca="1" si="112"/>
        <v>72.068431911966982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IFERROR(__xludf.DUMMYFUNCTION("IMPORTRANGE(""https://docs.google.com/spreadsheets/d/1IYY_tgx_IHuhSq3AJ5eI5OnqOPBNLWSHKh2a30DoXe8/edit?usp=sharing"",""ภูเก็ต!M302"")"),69500)</f>
        <v>69500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IFERROR(__xludf.DUMMYFUNCTION("IMPORTRANGE(""https://docs.google.com/spreadsheets/d/1IYY_tgx_IHuhSq3AJ5eI5OnqOPBNLWSHKh2a30DoXe8/edit?usp=sharing"",""ภูเก็ต!M303"")"),0)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IFERROR(__xludf.DUMMYFUNCTION("IMPORTRANGE(""https://docs.google.com/spreadsheets/d/1IYY_tgx_IHuhSq3AJ5eI5OnqOPBNLWSHKh2a30DoXe8/edit?usp=sharing"",""ภูเก็ต!M304"")"),0)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IFERROR(__xludf.DUMMYFUNCTION("IMPORTRANGE(""https://docs.google.com/spreadsheets/d/1IYY_tgx_IHuhSq3AJ5eI5OnqOPBNLWSHKh2a30DoXe8/edit?usp=sharing"",""ภูเก็ต!M305"")"),14330)</f>
        <v>14330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IFERROR(__xludf.DUMMYFUNCTION("IMPORTRANGE(""https://docs.google.com/spreadsheets/d/1IYY_tgx_IHuhSq3AJ5eI5OnqOPBNLWSHKh2a30DoXe8/edit?usp=sharing"",""ภูเก็ต!J307"")"),0)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IFERROR(__xludf.DUMMYFUNCTION("IMPORTRANGE(""https://docs.google.com/spreadsheets/d/1IYY_tgx_IHuhSq3AJ5eI5OnqOPBNLWSHKh2a30DoXe8/edit?usp=sharing"",""ภูเก็ต!J308"")"),1)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IFERROR(__xludf.DUMMYFUNCTION("IMPORTRANGE(""https://docs.google.com/spreadsheets/d/1IYY_tgx_IHuhSq3AJ5eI5OnqOPBNLWSHKh2a30DoXe8/edit?usp=sharing"",""ภูเก็ต!J309"")"),1)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IFERROR(__xludf.DUMMYFUNCTION("IMPORTRANGE(""https://docs.google.com/spreadsheets/d/1IYY_tgx_IHuhSq3AJ5eI5OnqOPBNLWSHKh2a30DoXe8/edit?usp=sharing"",""ภูเก็ต!J310"")"),1)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IFERROR(__xludf.DUMMYFUNCTION("IMPORTRANGE(""https://docs.google.com/spreadsheets/d/1IYY_tgx_IHuhSq3AJ5eI5OnqOPBNLWSHKh2a30DoXe8/edit?usp=sharing"",""ภูเก็ต!I311"")"),30)</f>
        <v>30</v>
      </c>
      <c r="J416" s="207">
        <f ca="1">IFERROR(__xludf.DUMMYFUNCTION("IMPORTRANGE(""https://docs.google.com/spreadsheets/d/1IYY_tgx_IHuhSq3AJ5eI5OnqOPBNLWSHKh2a30DoXe8/edit?usp=sharing"",""ภูเก็ต!J311"")"),30)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IFERROR(__xludf.DUMMYFUNCTION("IMPORTRANGE(""https://docs.google.com/spreadsheets/d/1IYY_tgx_IHuhSq3AJ5eI5OnqOPBNLWSHKh2a30DoXe8/edit?usp=sharing"",""ภูเก็ต!I312"")"),10)</f>
        <v>10</v>
      </c>
      <c r="J417" s="398">
        <f ca="1">IFERROR(__xludf.DUMMYFUNCTION("IMPORTRANGE(""https://docs.google.com/spreadsheets/d/1IYY_tgx_IHuhSq3AJ5eI5OnqOPBNLWSHKh2a30DoXe8/edit?usp=sharing"",""ภูเก็ต!J312"")"),10)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IFERROR(__xludf.DUMMYFUNCTION("IMPORTRANGE(""https://docs.google.com/spreadsheets/d/1IYY_tgx_IHuhSq3AJ5eI5OnqOPBNLWSHKh2a30DoXe8/edit?usp=sharing"",""ภูเก็ต!I313"")"),30)</f>
        <v>30</v>
      </c>
      <c r="J418" s="399">
        <f ca="1">IFERROR(__xludf.DUMMYFUNCTION("IMPORTRANGE(""https://docs.google.com/spreadsheets/d/1IYY_tgx_IHuhSq3AJ5eI5OnqOPBNLWSHKh2a30DoXe8/edit?usp=sharing"",""ภูเก็ต!J313"")"),30)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IFERROR(__xludf.DUMMYFUNCTION("IMPORTRANGE(""https://docs.google.com/spreadsheets/d/1IYY_tgx_IHuhSq3AJ5eI5OnqOPBNLWSHKh2a30DoXe8/edit?usp=sharing"",""ภูเก็ต!I314"")"),10)</f>
        <v>10</v>
      </c>
      <c r="J419" s="400">
        <f ca="1">IFERROR(__xludf.DUMMYFUNCTION("IMPORTRANGE(""https://docs.google.com/spreadsheets/d/1IYY_tgx_IHuhSq3AJ5eI5OnqOPBNLWSHKh2a30DoXe8/edit?usp=sharing"",""ภูเก็ต!J314"")"),10)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IFERROR(__xludf.DUMMYFUNCTION("IMPORTRANGE(""https://docs.google.com/spreadsheets/d/1IYY_tgx_IHuhSq3AJ5eI5OnqOPBNLWSHKh2a30DoXe8/edit?usp=sharing"",""ภูเก็ต!I315"")"),10)</f>
        <v>10</v>
      </c>
      <c r="J420" s="400">
        <f ca="1">IFERROR(__xludf.DUMMYFUNCTION("IMPORTRANGE(""https://docs.google.com/spreadsheets/d/1IYY_tgx_IHuhSq3AJ5eI5OnqOPBNLWSHKh2a30DoXe8/edit?usp=sharing"",""ภูเก็ต!J315"")"),10)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IFERROR(__xludf.DUMMYFUNCTION("IMPORTRANGE(""https://docs.google.com/spreadsheets/d/1IYY_tgx_IHuhSq3AJ5eI5OnqOPBNLWSHKh2a30DoXe8/edit?usp=sharing"",""ภูเก็ต!I316"")"),10)</f>
        <v>10</v>
      </c>
      <c r="J421" s="398">
        <f ca="1">IFERROR(__xludf.DUMMYFUNCTION("IMPORTRANGE(""https://docs.google.com/spreadsheets/d/1IYY_tgx_IHuhSq3AJ5eI5OnqOPBNLWSHKh2a30DoXe8/edit?usp=sharing"",""ภูเก็ต!J316"")"),10)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IFERROR(__xludf.DUMMYFUNCTION("IMPORTRANGE(""https://docs.google.com/spreadsheets/d/1IYY_tgx_IHuhSq3AJ5eI5OnqOPBNLWSHKh2a30DoXe8/edit?usp=sharing"",""ภูเก็ต!I317"")"),30)</f>
        <v>30</v>
      </c>
      <c r="J422" s="399">
        <f ca="1">IFERROR(__xludf.DUMMYFUNCTION("IMPORTRANGE(""https://docs.google.com/spreadsheets/d/1IYY_tgx_IHuhSq3AJ5eI5OnqOPBNLWSHKh2a30DoXe8/edit?usp=sharing"",""ภูเก็ต!J317"")"),30)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IFERROR(__xludf.DUMMYFUNCTION("IMPORTRANGE(""https://docs.google.com/spreadsheets/d/1IYY_tgx_IHuhSq3AJ5eI5OnqOPBNLWSHKh2a30DoXe8/edit?usp=sharing"",""ภูเก็ต!I318"")"),10)</f>
        <v>10</v>
      </c>
      <c r="J423" s="400">
        <f ca="1">IFERROR(__xludf.DUMMYFUNCTION("IMPORTRANGE(""https://docs.google.com/spreadsheets/d/1IYY_tgx_IHuhSq3AJ5eI5OnqOPBNLWSHKh2a30DoXe8/edit?usp=sharing"",""ภูเก็ต!J318"")"),10)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IFERROR(__xludf.DUMMYFUNCTION("IMPORTRANGE(""https://docs.google.com/spreadsheets/d/1IYY_tgx_IHuhSq3AJ5eI5OnqOPBNLWSHKh2a30DoXe8/edit?usp=sharing"",""ภูเก็ต!I319"")"),10)</f>
        <v>10</v>
      </c>
      <c r="J424" s="400">
        <f ca="1">IFERROR(__xludf.DUMMYFUNCTION("IMPORTRANGE(""https://docs.google.com/spreadsheets/d/1IYY_tgx_IHuhSq3AJ5eI5OnqOPBNLWSHKh2a30DoXe8/edit?usp=sharing"",""ภูเก็ต!J319"")"),10)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IFERROR(__xludf.DUMMYFUNCTION("IMPORTRANGE(""https://docs.google.com/spreadsheets/d/1IYY_tgx_IHuhSq3AJ5eI5OnqOPBNLWSHKh2a30DoXe8/edit?usp=sharing"",""ภูเก็ต!I320"")"),10)</f>
        <v>10</v>
      </c>
      <c r="J425" s="400">
        <f ca="1">IFERROR(__xludf.DUMMYFUNCTION("IMPORTRANGE(""https://docs.google.com/spreadsheets/d/1IYY_tgx_IHuhSq3AJ5eI5OnqOPBNLWSHKh2a30DoXe8/edit?usp=sharing"",""ภูเก็ต!J320"")"),10)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IFERROR(__xludf.DUMMYFUNCTION("IMPORTRANGE(""https://docs.google.com/spreadsheets/d/1IYY_tgx_IHuhSq3AJ5eI5OnqOPBNLWSHKh2a30DoXe8/edit?usp=sharing"",""ภูเก็ต!I321"")"),10)</f>
        <v>10</v>
      </c>
      <c r="J426" s="398">
        <f ca="1">IFERROR(__xludf.DUMMYFUNCTION("IMPORTRANGE(""https://docs.google.com/spreadsheets/d/1IYY_tgx_IHuhSq3AJ5eI5OnqOPBNLWSHKh2a30DoXe8/edit?usp=sharing"",""ภูเก็ต!J321"")"),10)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IFERROR(__xludf.DUMMYFUNCTION("IMPORTRANGE(""https://docs.google.com/spreadsheets/d/1IYY_tgx_IHuhSq3AJ5eI5OnqOPBNLWSHKh2a30DoXe8/edit?usp=sharing"",""ภูเก็ต!I322"")"),30)</f>
        <v>30</v>
      </c>
      <c r="J427" s="399">
        <f ca="1">IFERROR(__xludf.DUMMYFUNCTION("IMPORTRANGE(""https://docs.google.com/spreadsheets/d/1IYY_tgx_IHuhSq3AJ5eI5OnqOPBNLWSHKh2a30DoXe8/edit?usp=sharing"",""ภูเก็ต!J322"")"),30)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IFERROR(__xludf.DUMMYFUNCTION("IMPORTRANGE(""https://docs.google.com/spreadsheets/d/1IYY_tgx_IHuhSq3AJ5eI5OnqOPBNLWSHKh2a30DoXe8/edit?usp=sharing"",""ภูเก็ต!I323"")"),10)</f>
        <v>10</v>
      </c>
      <c r="J428" s="400">
        <f ca="1">IFERROR(__xludf.DUMMYFUNCTION("IMPORTRANGE(""https://docs.google.com/spreadsheets/d/1IYY_tgx_IHuhSq3AJ5eI5OnqOPBNLWSHKh2a30DoXe8/edit?usp=sharing"",""ภูเก็ต!J323"")"),10)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IFERROR(__xludf.DUMMYFUNCTION("IMPORTRANGE(""https://docs.google.com/spreadsheets/d/1IYY_tgx_IHuhSq3AJ5eI5OnqOPBNLWSHKh2a30DoXe8/edit?usp=sharing"",""ภูเก็ต!I324"")"),10)</f>
        <v>10</v>
      </c>
      <c r="J429" s="400">
        <f ca="1">IFERROR(__xludf.DUMMYFUNCTION("IMPORTRANGE(""https://docs.google.com/spreadsheets/d/1IYY_tgx_IHuhSq3AJ5eI5OnqOPBNLWSHKh2a30DoXe8/edit?usp=sharing"",""ภูเก็ต!J324"")"),10)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IFERROR(__xludf.DUMMYFUNCTION("IMPORTRANGE(""https://docs.google.com/spreadsheets/d/1IYY_tgx_IHuhSq3AJ5eI5OnqOPBNLWSHKh2a30DoXe8/edit?usp=sharing"",""ภูเก็ต!I325"")"),20)</f>
        <v>20</v>
      </c>
      <c r="J430" s="398">
        <f ca="1">IFERROR(__xludf.DUMMYFUNCTION("IMPORTRANGE(""https://docs.google.com/spreadsheets/d/1IYY_tgx_IHuhSq3AJ5eI5OnqOPBNLWSHKh2a30DoXe8/edit?usp=sharing"",""ภูเก็ต!J325"")"),0)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IFERROR(__xludf.DUMMYFUNCTION("IMPORTRANGE(""https://docs.google.com/spreadsheets/d/1IYY_tgx_IHuhSq3AJ5eI5OnqOPBNLWSHKh2a30DoXe8/edit?usp=sharing"",""ภูเก็ต!I326"")"),10)</f>
        <v>10</v>
      </c>
      <c r="J431" s="400">
        <f ca="1">IFERROR(__xludf.DUMMYFUNCTION("IMPORTRANGE(""https://docs.google.com/spreadsheets/d/1IYY_tgx_IHuhSq3AJ5eI5OnqOPBNLWSHKh2a30DoXe8/edit?usp=sharing"",""ภูเก็ต!J326"")"),0)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IFERROR(__xludf.DUMMYFUNCTION("IMPORTRANGE(""https://docs.google.com/spreadsheets/d/1IYY_tgx_IHuhSq3AJ5eI5OnqOPBNLWSHKh2a30DoXe8/edit?usp=sharing"",""ภูเก็ต!I327"")"),10)</f>
        <v>10</v>
      </c>
      <c r="J432" s="400">
        <f ca="1">IFERROR(__xludf.DUMMYFUNCTION("IMPORTRANGE(""https://docs.google.com/spreadsheets/d/1IYY_tgx_IHuhSq3AJ5eI5OnqOPBNLWSHKh2a30DoXe8/edit?usp=sharing"",""ภูเก็ต!J327"")"),0)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IFERROR(__xludf.DUMMYFUNCTION("IMPORTRANGE(""https://docs.google.com/spreadsheets/d/1IYY_tgx_IHuhSq3AJ5eI5OnqOPBNLWSHKh2a30DoXe8/edit?usp=sharing"",""ภูเก็ต!J328"")"),0)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IFERROR(__xludf.DUMMYFUNCTION("IMPORTRANGE(""https://docs.google.com/spreadsheets/d/1IYY_tgx_IHuhSq3AJ5eI5OnqOPBNLWSHKh2a30DoXe8/edit?usp=sharing"",""ภูเก็ต!J329"")"),0)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IFERROR(__xludf.DUMMYFUNCTION("IMPORTRANGE(""https://docs.google.com/spreadsheets/d/1IYY_tgx_IHuhSq3AJ5eI5OnqOPBNLWSHKh2a30DoXe8/edit?usp=sharing"",""ภูเก็ต!I330"")"),10)</f>
        <v>10</v>
      </c>
      <c r="J435" s="416">
        <f ca="1">IFERROR(__xludf.DUMMYFUNCTION("IMPORTRANGE(""https://docs.google.com/spreadsheets/d/1IYY_tgx_IHuhSq3AJ5eI5OnqOPBNLWSHKh2a30DoXe8/edit?usp=sharing"",""ภูเก็ต!J330"")"),10)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IFERROR(__xludf.DUMMYFUNCTION("IMPORTRANGE(""https://docs.google.com/spreadsheets/d/1IYY_tgx_IHuhSq3AJ5eI5OnqOPBNLWSHKh2a30DoXe8/edit?usp=sharing"",""ภูเก็ต!L330"")"),76000)</f>
        <v>76000</v>
      </c>
      <c r="M435" s="418"/>
      <c r="N435" s="418">
        <f ca="1">IFERROR(__xludf.DUMMYFUNCTION("IMPORTRANGE(""https://docs.google.com/spreadsheets/d/1IYY_tgx_IHuhSq3AJ5eI5OnqOPBNLWSHKh2a30DoXe8/edit?usp=sharing"",""ภูเก็ต!M330"")"),33830)</f>
        <v>33830</v>
      </c>
      <c r="O435" s="418">
        <f t="shared" ref="O435:O439" ca="1" si="114">+IF(L435&gt;0,N435*100/L435,0)</f>
        <v>44.513157894736842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IFERROR(__xludf.DUMMYFUNCTION("IMPORTRANGE(""https://docs.google.com/spreadsheets/d/1IYY_tgx_IHuhSq3AJ5eI5OnqOPBNLWSHKh2a30DoXe8/edit?usp=sharing"",""ภูเก็ต!L331"")"),0)</f>
        <v>0</v>
      </c>
      <c r="M436" s="168"/>
      <c r="N436" s="175">
        <f ca="1">IFERROR(__xludf.DUMMYFUNCTION("IMPORTRANGE(""https://docs.google.com/spreadsheets/d/1IYY_tgx_IHuhSq3AJ5eI5OnqOPBNLWSHKh2a30DoXe8/edit?usp=sharing"",""ภูเก็ต!M331"")"),0)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IFERROR(__xludf.DUMMYFUNCTION("IMPORTRANGE(""https://docs.google.com/spreadsheets/d/1IYY_tgx_IHuhSq3AJ5eI5OnqOPBNLWSHKh2a30DoXe8/edit?usp=sharing"",""ภูเก็ต!L332"")"),76000)</f>
        <v>76000</v>
      </c>
      <c r="M437" s="169"/>
      <c r="N437" s="175">
        <f ca="1">IFERROR(__xludf.DUMMYFUNCTION("IMPORTRANGE(""https://docs.google.com/spreadsheets/d/1IYY_tgx_IHuhSq3AJ5eI5OnqOPBNLWSHKh2a30DoXe8/edit?usp=sharing"",""ภูเก็ต!M332"")"),33830)</f>
        <v>33830</v>
      </c>
      <c r="O437" s="175">
        <f t="shared" ca="1" si="114"/>
        <v>44.513157894736842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IFERROR(__xludf.DUMMYFUNCTION("IMPORTRANGE(""https://docs.google.com/spreadsheets/d/1IYY_tgx_IHuhSq3AJ5eI5OnqOPBNLWSHKh2a30DoXe8/edit?usp=sharing"",""ภูเก็ต!L333"")"),0)</f>
        <v>0</v>
      </c>
      <c r="M438" s="175"/>
      <c r="N438" s="175">
        <f ca="1">IFERROR(__xludf.DUMMYFUNCTION("IMPORTRANGE(""https://docs.google.com/spreadsheets/d/1IYY_tgx_IHuhSq3AJ5eI5OnqOPBNLWSHKh2a30DoXe8/edit?usp=sharing"",""ภูเก็ต!M333"")"),0)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IFERROR(__xludf.DUMMYFUNCTION("IMPORTRANGE(""https://docs.google.com/spreadsheets/d/1IYY_tgx_IHuhSq3AJ5eI5OnqOPBNLWSHKh2a30DoXe8/edit?usp=sharing"",""ภูเก็ต!L334"")"),76000)</f>
        <v>76000</v>
      </c>
      <c r="M439" s="175"/>
      <c r="N439" s="175">
        <f ca="1">IFERROR(__xludf.DUMMYFUNCTION("IMPORTRANGE(""https://docs.google.com/spreadsheets/d/1IYY_tgx_IHuhSq3AJ5eI5OnqOPBNLWSHKh2a30DoXe8/edit?usp=sharing"",""ภูเก็ต!M334"")"),33830)</f>
        <v>33830</v>
      </c>
      <c r="O439" s="175">
        <f t="shared" ca="1" si="114"/>
        <v>44.513157894736842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IFERROR(__xludf.DUMMYFUNCTION("IMPORTRANGE(""https://docs.google.com/spreadsheets/d/1IYY_tgx_IHuhSq3AJ5eI5OnqOPBNLWSHKh2a30DoXe8/edit?usp=sharing"",""ภูเก็ต!M335"")"),20200)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IFERROR(__xludf.DUMMYFUNCTION("IMPORTRANGE(""https://docs.google.com/spreadsheets/d/1IYY_tgx_IHuhSq3AJ5eI5OnqOPBNLWSHKh2a30DoXe8/edit?usp=sharing"",""ภูเก็ต!M336"")"),0)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IFERROR(__xludf.DUMMYFUNCTION("IMPORTRANGE(""https://docs.google.com/spreadsheets/d/1IYY_tgx_IHuhSq3AJ5eI5OnqOPBNLWSHKh2a30DoXe8/edit?usp=sharing"",""ภูเก็ต!M337"")"),0)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IFERROR(__xludf.DUMMYFUNCTION("IMPORTRANGE(""https://docs.google.com/spreadsheets/d/1IYY_tgx_IHuhSq3AJ5eI5OnqOPBNLWSHKh2a30DoXe8/edit?usp=sharing"",""ภูเก็ต!M338"")"),13630)</f>
        <v>13630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IFERROR(__xludf.DUMMYFUNCTION("IMPORTRANGE(""https://docs.google.com/spreadsheets/d/1IYY_tgx_IHuhSq3AJ5eI5OnqOPBNLWSHKh2a30DoXe8/edit?usp=sharing"",""ภูเก็ต!J340"")"),0)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IFERROR(__xludf.DUMMYFUNCTION("IMPORTRANGE(""https://docs.google.com/spreadsheets/d/1IYY_tgx_IHuhSq3AJ5eI5OnqOPBNLWSHKh2a30DoXe8/edit?usp=sharing"",""ภูเก็ต!J341"")"),1)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IFERROR(__xludf.DUMMYFUNCTION("IMPORTRANGE(""https://docs.google.com/spreadsheets/d/1IYY_tgx_IHuhSq3AJ5eI5OnqOPBNLWSHKh2a30DoXe8/edit?usp=sharing"",""ภูเก็ต!J342"")"),1)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IFERROR(__xludf.DUMMYFUNCTION("IMPORTRANGE(""https://docs.google.com/spreadsheets/d/1IYY_tgx_IHuhSq3AJ5eI5OnqOPBNLWSHKh2a30DoXe8/edit?usp=sharing"",""ภูเก็ต!J343"")"),1)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IFERROR(__xludf.DUMMYFUNCTION("IMPORTRANGE(""https://docs.google.com/spreadsheets/d/1IYY_tgx_IHuhSq3AJ5eI5OnqOPBNLWSHKh2a30DoXe8/edit?usp=sharing"",""ภูเก็ต!I344"")"),10)</f>
        <v>10</v>
      </c>
      <c r="J449" s="207">
        <f ca="1">IFERROR(__xludf.DUMMYFUNCTION("IMPORTRANGE(""https://docs.google.com/spreadsheets/d/1IYY_tgx_IHuhSq3AJ5eI5OnqOPBNLWSHKh2a30DoXe8/edit?usp=sharing"",""ภูเก็ต!J344"")"),10)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IFERROR(__xludf.DUMMYFUNCTION("IMPORTRANGE(""https://docs.google.com/spreadsheets/d/1IYY_tgx_IHuhSq3AJ5eI5OnqOPBNLWSHKh2a30DoXe8/edit?usp=sharing"",""ภูเก็ต!I345"")"),10)</f>
        <v>10</v>
      </c>
      <c r="J450" s="195">
        <f ca="1">IFERROR(__xludf.DUMMYFUNCTION("IMPORTRANGE(""https://docs.google.com/spreadsheets/d/1IYY_tgx_IHuhSq3AJ5eI5OnqOPBNLWSHKh2a30DoXe8/edit?usp=sharing"",""ภูเก็ต!J345"")"),10)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IFERROR(__xludf.DUMMYFUNCTION("IMPORTRANGE(""https://docs.google.com/spreadsheets/d/1IYY_tgx_IHuhSq3AJ5eI5OnqOPBNLWSHKh2a30DoXe8/edit?usp=sharing"",""ภูเก็ต!I346"")"),0)</f>
        <v>0</v>
      </c>
      <c r="J451" s="194">
        <f ca="1">IFERROR(__xludf.DUMMYFUNCTION("IMPORTRANGE(""https://docs.google.com/spreadsheets/d/1IYY_tgx_IHuhSq3AJ5eI5OnqOPBNLWSHKh2a30DoXe8/edit?usp=sharing"",""ภูเก็ต!J346"")"),0)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IFERROR(__xludf.DUMMYFUNCTION("IMPORTRANGE(""https://docs.google.com/spreadsheets/d/1IYY_tgx_IHuhSq3AJ5eI5OnqOPBNLWSHKh2a30DoXe8/edit?usp=sharing"",""ภูเก็ต!I347"")"),0)</f>
        <v>0</v>
      </c>
      <c r="J452" s="194">
        <f ca="1">IFERROR(__xludf.DUMMYFUNCTION("IMPORTRANGE(""https://docs.google.com/spreadsheets/d/1IYY_tgx_IHuhSq3AJ5eI5OnqOPBNLWSHKh2a30DoXe8/edit?usp=sharing"",""ภูเก็ต!J347"")"),0)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IFERROR(__xludf.DUMMYFUNCTION("IMPORTRANGE(""https://docs.google.com/spreadsheets/d/1IYY_tgx_IHuhSq3AJ5eI5OnqOPBNLWSHKh2a30DoXe8/edit?usp=sharing"",""ภูเก็ต!J348"")"),0)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IFERROR(__xludf.DUMMYFUNCTION("IMPORTRANGE(""https://docs.google.com/spreadsheets/d/1IYY_tgx_IHuhSq3AJ5eI5OnqOPBNLWSHKh2a30DoXe8/edit?usp=sharing"",""ภูเก็ต!J349"")"),0)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IFERROR(__xludf.DUMMYFUNCTION("IMPORTRANGE(""https://docs.google.com/spreadsheets/d/1IYY_tgx_IHuhSq3AJ5eI5OnqOPBNLWSHKh2a30DoXe8/edit?usp=sharing"",""ภูเก็ต!I350"")"),0)</f>
        <v>0</v>
      </c>
      <c r="J455" s="377">
        <f ca="1">IFERROR(__xludf.DUMMYFUNCTION("IMPORTRANGE(""https://docs.google.com/spreadsheets/d/1IYY_tgx_IHuhSq3AJ5eI5OnqOPBNLWSHKh2a30DoXe8/edit?usp=sharing"",""ภูเก็ต!J350"")"),0)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IFERROR(__xludf.DUMMYFUNCTION("IMPORTRANGE(""https://docs.google.com/spreadsheets/d/1IYY_tgx_IHuhSq3AJ5eI5OnqOPBNLWSHKh2a30DoXe8/edit?usp=sharing"",""ภูเก็ต!L350"")"),0)</f>
        <v>0</v>
      </c>
      <c r="M455" s="379"/>
      <c r="N455" s="379">
        <f ca="1">IFERROR(__xludf.DUMMYFUNCTION("IMPORTRANGE(""https://docs.google.com/spreadsheets/d/1IYY_tgx_IHuhSq3AJ5eI5OnqOPBNLWSHKh2a30DoXe8/edit?usp=sharing"",""ภูเก็ต!M350"")"),0)</f>
        <v>0</v>
      </c>
      <c r="O455" s="379">
        <f t="shared" ref="O455:O459" ca="1" si="116">+IF(L455&gt;0,N455*100/L455,0)</f>
        <v>0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IFERROR(__xludf.DUMMYFUNCTION("IMPORTRANGE(""https://docs.google.com/spreadsheets/d/1IYY_tgx_IHuhSq3AJ5eI5OnqOPBNLWSHKh2a30DoXe8/edit?usp=sharing"",""ภูเก็ต!L351"")"),0)</f>
        <v>0</v>
      </c>
      <c r="M456" s="168"/>
      <c r="N456" s="175">
        <f ca="1">IFERROR(__xludf.DUMMYFUNCTION("IMPORTRANGE(""https://docs.google.com/spreadsheets/d/1IYY_tgx_IHuhSq3AJ5eI5OnqOPBNLWSHKh2a30DoXe8/edit?usp=sharing"",""ภูเก็ต!M351"")"),0)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IFERROR(__xludf.DUMMYFUNCTION("IMPORTRANGE(""https://docs.google.com/spreadsheets/d/1IYY_tgx_IHuhSq3AJ5eI5OnqOPBNLWSHKh2a30DoXe8/edit?usp=sharing"",""ภูเก็ต!L352"")"),0)</f>
        <v>0</v>
      </c>
      <c r="M457" s="169"/>
      <c r="N457" s="175">
        <f ca="1">IFERROR(__xludf.DUMMYFUNCTION("IMPORTRANGE(""https://docs.google.com/spreadsheets/d/1IYY_tgx_IHuhSq3AJ5eI5OnqOPBNLWSHKh2a30DoXe8/edit?usp=sharing"",""ภูเก็ต!M352"")"),0)</f>
        <v>0</v>
      </c>
      <c r="O457" s="175">
        <f t="shared" ca="1" si="116"/>
        <v>0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IFERROR(__xludf.DUMMYFUNCTION("IMPORTRANGE(""https://docs.google.com/spreadsheets/d/1IYY_tgx_IHuhSq3AJ5eI5OnqOPBNLWSHKh2a30DoXe8/edit?usp=sharing"",""ภูเก็ต!L353"")"),0)</f>
        <v>0</v>
      </c>
      <c r="M458" s="175"/>
      <c r="N458" s="175">
        <f ca="1">IFERROR(__xludf.DUMMYFUNCTION("IMPORTRANGE(""https://docs.google.com/spreadsheets/d/1IYY_tgx_IHuhSq3AJ5eI5OnqOPBNLWSHKh2a30DoXe8/edit?usp=sharing"",""ภูเก็ต!M353"")"),0)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IFERROR(__xludf.DUMMYFUNCTION("IMPORTRANGE(""https://docs.google.com/spreadsheets/d/1IYY_tgx_IHuhSq3AJ5eI5OnqOPBNLWSHKh2a30DoXe8/edit?usp=sharing"",""ภูเก็ต!L354"")"),0)</f>
        <v>0</v>
      </c>
      <c r="M459" s="175"/>
      <c r="N459" s="175">
        <f ca="1">IFERROR(__xludf.DUMMYFUNCTION("IMPORTRANGE(""https://docs.google.com/spreadsheets/d/1IYY_tgx_IHuhSq3AJ5eI5OnqOPBNLWSHKh2a30DoXe8/edit?usp=sharing"",""ภูเก็ต!M354"")"),0)</f>
        <v>0</v>
      </c>
      <c r="O459" s="175">
        <f t="shared" ca="1" si="116"/>
        <v>0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IFERROR(__xludf.DUMMYFUNCTION("IMPORTRANGE(""https://docs.google.com/spreadsheets/d/1IYY_tgx_IHuhSq3AJ5eI5OnqOPBNLWSHKh2a30DoXe8/edit?usp=sharing"",""ภูเก็ต!M355"")"),0)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IFERROR(__xludf.DUMMYFUNCTION("IMPORTRANGE(""https://docs.google.com/spreadsheets/d/1IYY_tgx_IHuhSq3AJ5eI5OnqOPBNLWSHKh2a30DoXe8/edit?usp=sharing"",""ภูเก็ต!M356"")"),0)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IFERROR(__xludf.DUMMYFUNCTION("IMPORTRANGE(""https://docs.google.com/spreadsheets/d/1IYY_tgx_IHuhSq3AJ5eI5OnqOPBNLWSHKh2a30DoXe8/edit?usp=sharing"",""ภูเก็ต!M357"")"),0)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IFERROR(__xludf.DUMMYFUNCTION("IMPORTRANGE(""https://docs.google.com/spreadsheets/d/1IYY_tgx_IHuhSq3AJ5eI5OnqOPBNLWSHKh2a30DoXe8/edit?usp=sharing"",""ภูเก็ต!M358"")"),0)</f>
        <v>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IFERROR(__xludf.DUMMYFUNCTION("IMPORTRANGE(""https://docs.google.com/spreadsheets/d/1IYY_tgx_IHuhSq3AJ5eI5OnqOPBNLWSHKh2a30DoXe8/edit?usp=sharing"",""ภูเก็ต!I359"")"),0)</f>
        <v>0</v>
      </c>
      <c r="J464" s="273">
        <f ca="1">IFERROR(__xludf.DUMMYFUNCTION("IMPORTRANGE(""https://docs.google.com/spreadsheets/d/1IYY_tgx_IHuhSq3AJ5eI5OnqOPBNLWSHKh2a30DoXe8/edit?usp=sharing"",""ภูเก็ต!J359"")"),0)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IFERROR(__xludf.DUMMYFUNCTION("IMPORTRANGE(""https://docs.google.com/spreadsheets/d/1IYY_tgx_IHuhSq3AJ5eI5OnqOPBNLWSHKh2a30DoXe8/edit?usp=sharing"",""ภูเก็ต!I360"")"),0)</f>
        <v>0</v>
      </c>
      <c r="J465" s="426">
        <f ca="1">IFERROR(__xludf.DUMMYFUNCTION("IMPORTRANGE(""https://docs.google.com/spreadsheets/d/1IYY_tgx_IHuhSq3AJ5eI5OnqOPBNLWSHKh2a30DoXe8/edit?usp=sharing"",""ภูเก็ต!J360"")"),0)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IFERROR(__xludf.DUMMYFUNCTION("IMPORTRANGE(""https://docs.google.com/spreadsheets/d/1IYY_tgx_IHuhSq3AJ5eI5OnqOPBNLWSHKh2a30DoXe8/edit?usp=sharing"",""ภูเก็ต!I361"")"),0)</f>
        <v>0</v>
      </c>
      <c r="J466" s="426">
        <f ca="1">IFERROR(__xludf.DUMMYFUNCTION("IMPORTRANGE(""https://docs.google.com/spreadsheets/d/1IYY_tgx_IHuhSq3AJ5eI5OnqOPBNLWSHKh2a30DoXe8/edit?usp=sharing"",""ภูเก็ต!J361"")"),0)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IFERROR(__xludf.DUMMYFUNCTION("IMPORTRANGE(""https://docs.google.com/spreadsheets/d/1IYY_tgx_IHuhSq3AJ5eI5OnqOPBNLWSHKh2a30DoXe8/edit?usp=sharing"",""ภูเก็ต!I362"")"),0)</f>
        <v>0</v>
      </c>
      <c r="J467" s="195">
        <f ca="1">IFERROR(__xludf.DUMMYFUNCTION("IMPORTRANGE(""https://docs.google.com/spreadsheets/d/1IYY_tgx_IHuhSq3AJ5eI5OnqOPBNLWSHKh2a30DoXe8/edit?usp=sharing"",""ภูเก็ต!J362"")"),0)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IFERROR(__xludf.DUMMYFUNCTION("IMPORTRANGE(""https://docs.google.com/spreadsheets/d/1IYY_tgx_IHuhSq3AJ5eI5OnqOPBNLWSHKh2a30DoXe8/edit?usp=sharing"",""ภูเก็ต!I363"")"),0)</f>
        <v>0</v>
      </c>
      <c r="J468" s="195">
        <f ca="1">IFERROR(__xludf.DUMMYFUNCTION("IMPORTRANGE(""https://docs.google.com/spreadsheets/d/1IYY_tgx_IHuhSq3AJ5eI5OnqOPBNLWSHKh2a30DoXe8/edit?usp=sharing"",""ภูเก็ต!J363"")"),0)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IFERROR(__xludf.DUMMYFUNCTION("IMPORTRANGE(""https://docs.google.com/spreadsheets/d/1IYY_tgx_IHuhSq3AJ5eI5OnqOPBNLWSHKh2a30DoXe8/edit?usp=sharing"",""ภูเก็ต!I364"")"),0)</f>
        <v>0</v>
      </c>
      <c r="J469" s="195">
        <f ca="1">IFERROR(__xludf.DUMMYFUNCTION("IMPORTRANGE(""https://docs.google.com/spreadsheets/d/1IYY_tgx_IHuhSq3AJ5eI5OnqOPBNLWSHKh2a30DoXe8/edit?usp=sharing"",""ภูเก็ต!J364"")"),0)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IFERROR(__xludf.DUMMYFUNCTION("IMPORTRANGE(""https://docs.google.com/spreadsheets/d/1IYY_tgx_IHuhSq3AJ5eI5OnqOPBNLWSHKh2a30DoXe8/edit?usp=sharing"",""ภูเก็ต!I365"")"),0)</f>
        <v>0</v>
      </c>
      <c r="J470" s="195">
        <f ca="1">IFERROR(__xludf.DUMMYFUNCTION("IMPORTRANGE(""https://docs.google.com/spreadsheets/d/1IYY_tgx_IHuhSq3AJ5eI5OnqOPBNLWSHKh2a30DoXe8/edit?usp=sharing"",""ภูเก็ต!J365"")"),0)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IFERROR(__xludf.DUMMYFUNCTION("IMPORTRANGE(""https://docs.google.com/spreadsheets/d/1IYY_tgx_IHuhSq3AJ5eI5OnqOPBNLWSHKh2a30DoXe8/edit?usp=sharing"",""ภูเก็ต!I366"")"),0)</f>
        <v>0</v>
      </c>
      <c r="J471" s="195">
        <f ca="1">IFERROR(__xludf.DUMMYFUNCTION("IMPORTRANGE(""https://docs.google.com/spreadsheets/d/1IYY_tgx_IHuhSq3AJ5eI5OnqOPBNLWSHKh2a30DoXe8/edit?usp=sharing"",""ภูเก็ต!J366"")"),0)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IFERROR(__xludf.DUMMYFUNCTION("IMPORTRANGE(""https://docs.google.com/spreadsheets/d/1IYY_tgx_IHuhSq3AJ5eI5OnqOPBNLWSHKh2a30DoXe8/edit?usp=sharing"",""ภูเก็ต!I367"")"),0)</f>
        <v>0</v>
      </c>
      <c r="J472" s="195">
        <f ca="1">IFERROR(__xludf.DUMMYFUNCTION("IMPORTRANGE(""https://docs.google.com/spreadsheets/d/1IYY_tgx_IHuhSq3AJ5eI5OnqOPBNLWSHKh2a30DoXe8/edit?usp=sharing"",""ภูเก็ต!J367"")"),0)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IFERROR(__xludf.DUMMYFUNCTION("IMPORTRANGE(""https://docs.google.com/spreadsheets/d/1IYY_tgx_IHuhSq3AJ5eI5OnqOPBNLWSHKh2a30DoXe8/edit?usp=sharing"",""ภูเก็ต!I368"")"),0)</f>
        <v>0</v>
      </c>
      <c r="J473" s="426">
        <f ca="1">IFERROR(__xludf.DUMMYFUNCTION("IMPORTRANGE(""https://docs.google.com/spreadsheets/d/1IYY_tgx_IHuhSq3AJ5eI5OnqOPBNLWSHKh2a30DoXe8/edit?usp=sharing"",""ภูเก็ต!J368"")"),0)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IFERROR(__xludf.DUMMYFUNCTION("IMPORTRANGE(""https://docs.google.com/spreadsheets/d/1IYY_tgx_IHuhSq3AJ5eI5OnqOPBNLWSHKh2a30DoXe8/edit?usp=sharing"",""ภูเก็ต!I369"")"),0)</f>
        <v>0</v>
      </c>
      <c r="J474" s="426">
        <f ca="1">IFERROR(__xludf.DUMMYFUNCTION("IMPORTRANGE(""https://docs.google.com/spreadsheets/d/1IYY_tgx_IHuhSq3AJ5eI5OnqOPBNLWSHKh2a30DoXe8/edit?usp=sharing"",""ภูเก็ต!J369"")"),0)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IFERROR(__xludf.DUMMYFUNCTION("IMPORTRANGE(""https://docs.google.com/spreadsheets/d/1IYY_tgx_IHuhSq3AJ5eI5OnqOPBNLWSHKh2a30DoXe8/edit?usp=sharing"",""ภูเก็ต!I370"")"),0)</f>
        <v>0</v>
      </c>
      <c r="J475" s="195">
        <f ca="1">IFERROR(__xludf.DUMMYFUNCTION("IMPORTRANGE(""https://docs.google.com/spreadsheets/d/1IYY_tgx_IHuhSq3AJ5eI5OnqOPBNLWSHKh2a30DoXe8/edit?usp=sharing"",""ภูเก็ต!J370"")"),0)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IFERROR(__xludf.DUMMYFUNCTION("IMPORTRANGE(""https://docs.google.com/spreadsheets/d/1IYY_tgx_IHuhSq3AJ5eI5OnqOPBNLWSHKh2a30DoXe8/edit?usp=sharing"",""ภูเก็ต!I371"")"),0)</f>
        <v>0</v>
      </c>
      <c r="J476" s="195">
        <f ca="1">IFERROR(__xludf.DUMMYFUNCTION("IMPORTRANGE(""https://docs.google.com/spreadsheets/d/1IYY_tgx_IHuhSq3AJ5eI5OnqOPBNLWSHKh2a30DoXe8/edit?usp=sharing"",""ภูเก็ต!J371"")"),0)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IFERROR(__xludf.DUMMYFUNCTION("IMPORTRANGE(""https://docs.google.com/spreadsheets/d/1IYY_tgx_IHuhSq3AJ5eI5OnqOPBNLWSHKh2a30DoXe8/edit?usp=sharing"",""ภูเก็ต!I372"")"),0)</f>
        <v>0</v>
      </c>
      <c r="J477" s="195">
        <f ca="1">IFERROR(__xludf.DUMMYFUNCTION("IMPORTRANGE(""https://docs.google.com/spreadsheets/d/1IYY_tgx_IHuhSq3AJ5eI5OnqOPBNLWSHKh2a30DoXe8/edit?usp=sharing"",""ภูเก็ต!J372"")"),0)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IFERROR(__xludf.DUMMYFUNCTION("IMPORTRANGE(""https://docs.google.com/spreadsheets/d/1IYY_tgx_IHuhSq3AJ5eI5OnqOPBNLWSHKh2a30DoXe8/edit?usp=sharing"",""ภูเก็ต!I373"")"),0)</f>
        <v>0</v>
      </c>
      <c r="J478" s="195">
        <f ca="1">IFERROR(__xludf.DUMMYFUNCTION("IMPORTRANGE(""https://docs.google.com/spreadsheets/d/1IYY_tgx_IHuhSq3AJ5eI5OnqOPBNLWSHKh2a30DoXe8/edit?usp=sharing"",""ภูเก็ต!J373"")"),0)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IFERROR(__xludf.DUMMYFUNCTION("IMPORTRANGE(""https://docs.google.com/spreadsheets/d/1IYY_tgx_IHuhSq3AJ5eI5OnqOPBNLWSHKh2a30DoXe8/edit?usp=sharing"",""ภูเก็ต!I374"")"),0)</f>
        <v>0</v>
      </c>
      <c r="J479" s="195">
        <f ca="1">IFERROR(__xludf.DUMMYFUNCTION("IMPORTRANGE(""https://docs.google.com/spreadsheets/d/1IYY_tgx_IHuhSq3AJ5eI5OnqOPBNLWSHKh2a30DoXe8/edit?usp=sharing"",""ภูเก็ต!J374"")"),0)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IFERROR(__xludf.DUMMYFUNCTION("IMPORTRANGE(""https://docs.google.com/spreadsheets/d/1IYY_tgx_IHuhSq3AJ5eI5OnqOPBNLWSHKh2a30DoXe8/edit?usp=sharing"",""ภูเก็ต!I375"")"),0)</f>
        <v>0</v>
      </c>
      <c r="J480" s="195">
        <f ca="1">IFERROR(__xludf.DUMMYFUNCTION("IMPORTRANGE(""https://docs.google.com/spreadsheets/d/1IYY_tgx_IHuhSq3AJ5eI5OnqOPBNLWSHKh2a30DoXe8/edit?usp=sharing"",""ภูเก็ต!J375"")"),0)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IFERROR(__xludf.DUMMYFUNCTION("IMPORTRANGE(""https://docs.google.com/spreadsheets/d/1IYY_tgx_IHuhSq3AJ5eI5OnqOPBNLWSHKh2a30DoXe8/edit?usp=sharing"",""ภูเก็ต!I376"")"),0)</f>
        <v>0</v>
      </c>
      <c r="J481" s="426">
        <f ca="1">IFERROR(__xludf.DUMMYFUNCTION("IMPORTRANGE(""https://docs.google.com/spreadsheets/d/1IYY_tgx_IHuhSq3AJ5eI5OnqOPBNLWSHKh2a30DoXe8/edit?usp=sharing"",""ภูเก็ต!J376"")"),0)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IFERROR(__xludf.DUMMYFUNCTION("IMPORTRANGE(""https://docs.google.com/spreadsheets/d/1IYY_tgx_IHuhSq3AJ5eI5OnqOPBNLWSHKh2a30DoXe8/edit?usp=sharing"",""ภูเก็ต!I377"")"),0)</f>
        <v>0</v>
      </c>
      <c r="J482" s="426">
        <f ca="1">IFERROR(__xludf.DUMMYFUNCTION("IMPORTRANGE(""https://docs.google.com/spreadsheets/d/1IYY_tgx_IHuhSq3AJ5eI5OnqOPBNLWSHKh2a30DoXe8/edit?usp=sharing"",""ภูเก็ต!J377"")"),0)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IFERROR(__xludf.DUMMYFUNCTION("IMPORTRANGE(""https://docs.google.com/spreadsheets/d/1IYY_tgx_IHuhSq3AJ5eI5OnqOPBNLWSHKh2a30DoXe8/edit?usp=sharing"",""ภูเก็ต!I378"")"),0)</f>
        <v>0</v>
      </c>
      <c r="J483" s="195">
        <f ca="1">IFERROR(__xludf.DUMMYFUNCTION("IMPORTRANGE(""https://docs.google.com/spreadsheets/d/1IYY_tgx_IHuhSq3AJ5eI5OnqOPBNLWSHKh2a30DoXe8/edit?usp=sharing"",""ภูเก็ต!J378"")"),0)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IFERROR(__xludf.DUMMYFUNCTION("IMPORTRANGE(""https://docs.google.com/spreadsheets/d/1IYY_tgx_IHuhSq3AJ5eI5OnqOPBNLWSHKh2a30DoXe8/edit?usp=sharing"",""ภูเก็ต!I379"")"),0)</f>
        <v>0</v>
      </c>
      <c r="J484" s="195">
        <f ca="1">IFERROR(__xludf.DUMMYFUNCTION("IMPORTRANGE(""https://docs.google.com/spreadsheets/d/1IYY_tgx_IHuhSq3AJ5eI5OnqOPBNLWSHKh2a30DoXe8/edit?usp=sharing"",""ภูเก็ต!J379"")"),0)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IFERROR(__xludf.DUMMYFUNCTION("IMPORTRANGE(""https://docs.google.com/spreadsheets/d/1IYY_tgx_IHuhSq3AJ5eI5OnqOPBNLWSHKh2a30DoXe8/edit?usp=sharing"",""ภูเก็ต!I380"")"),0)</f>
        <v>0</v>
      </c>
      <c r="J485" s="195">
        <f ca="1">IFERROR(__xludf.DUMMYFUNCTION("IMPORTRANGE(""https://docs.google.com/spreadsheets/d/1IYY_tgx_IHuhSq3AJ5eI5OnqOPBNLWSHKh2a30DoXe8/edit?usp=sharing"",""ภูเก็ต!J380"")"),0)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IFERROR(__xludf.DUMMYFUNCTION("IMPORTRANGE(""https://docs.google.com/spreadsheets/d/1IYY_tgx_IHuhSq3AJ5eI5OnqOPBNLWSHKh2a30DoXe8/edit?usp=sharing"",""ภูเก็ต!I381"")"),0)</f>
        <v>0</v>
      </c>
      <c r="J486" s="195">
        <f ca="1">IFERROR(__xludf.DUMMYFUNCTION("IMPORTRANGE(""https://docs.google.com/spreadsheets/d/1IYY_tgx_IHuhSq3AJ5eI5OnqOPBNLWSHKh2a30DoXe8/edit?usp=sharing"",""ภูเก็ต!J381"")"),0)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IFERROR(__xludf.DUMMYFUNCTION("IMPORTRANGE(""https://docs.google.com/spreadsheets/d/1IYY_tgx_IHuhSq3AJ5eI5OnqOPBNLWSHKh2a30DoXe8/edit?usp=sharing"",""ภูเก็ต!I382"")"),0)</f>
        <v>0</v>
      </c>
      <c r="J487" s="426">
        <f ca="1">IFERROR(__xludf.DUMMYFUNCTION("IMPORTRANGE(""https://docs.google.com/spreadsheets/d/1IYY_tgx_IHuhSq3AJ5eI5OnqOPBNLWSHKh2a30DoXe8/edit?usp=sharing"",""ภูเก็ต!J382"")"),0)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IFERROR(__xludf.DUMMYFUNCTION("IMPORTRANGE(""https://docs.google.com/spreadsheets/d/1IYY_tgx_IHuhSq3AJ5eI5OnqOPBNLWSHKh2a30DoXe8/edit?usp=sharing"",""ภูเก็ต!I383"")"),0)</f>
        <v>0</v>
      </c>
      <c r="J488" s="426">
        <f ca="1">IFERROR(__xludf.DUMMYFUNCTION("IMPORTRANGE(""https://docs.google.com/spreadsheets/d/1IYY_tgx_IHuhSq3AJ5eI5OnqOPBNLWSHKh2a30DoXe8/edit?usp=sharing"",""ภูเก็ต!J383"")"),0)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IFERROR(__xludf.DUMMYFUNCTION("IMPORTRANGE(""https://docs.google.com/spreadsheets/d/1IYY_tgx_IHuhSq3AJ5eI5OnqOPBNLWSHKh2a30DoXe8/edit?usp=sharing"",""ภูเก็ต!I384"")"),0)</f>
        <v>0</v>
      </c>
      <c r="J489" s="195">
        <f ca="1">IFERROR(__xludf.DUMMYFUNCTION("IMPORTRANGE(""https://docs.google.com/spreadsheets/d/1IYY_tgx_IHuhSq3AJ5eI5OnqOPBNLWSHKh2a30DoXe8/edit?usp=sharing"",""ภูเก็ต!J384"")"),0)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IFERROR(__xludf.DUMMYFUNCTION("IMPORTRANGE(""https://docs.google.com/spreadsheets/d/1IYY_tgx_IHuhSq3AJ5eI5OnqOPBNLWSHKh2a30DoXe8/edit?usp=sharing"",""ภูเก็ต!I385"")"),0)</f>
        <v>0</v>
      </c>
      <c r="J490" s="195">
        <f ca="1">IFERROR(__xludf.DUMMYFUNCTION("IMPORTRANGE(""https://docs.google.com/spreadsheets/d/1IYY_tgx_IHuhSq3AJ5eI5OnqOPBNLWSHKh2a30DoXe8/edit?usp=sharing"",""ภูเก็ต!J385"")"),0)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IFERROR(__xludf.DUMMYFUNCTION("IMPORTRANGE(""https://docs.google.com/spreadsheets/d/1IYY_tgx_IHuhSq3AJ5eI5OnqOPBNLWSHKh2a30DoXe8/edit?usp=sharing"",""ภูเก็ต!I386"")"),0)</f>
        <v>0</v>
      </c>
      <c r="J491" s="195">
        <f ca="1">IFERROR(__xludf.DUMMYFUNCTION("IMPORTRANGE(""https://docs.google.com/spreadsheets/d/1IYY_tgx_IHuhSq3AJ5eI5OnqOPBNLWSHKh2a30DoXe8/edit?usp=sharing"",""ภูเก็ต!J386"")"),0)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IFERROR(__xludf.DUMMYFUNCTION("IMPORTRANGE(""https://docs.google.com/spreadsheets/d/1IYY_tgx_IHuhSq3AJ5eI5OnqOPBNLWSHKh2a30DoXe8/edit?usp=sharing"",""ภูเก็ต!I387"")"),0)</f>
        <v>0</v>
      </c>
      <c r="J492" s="195">
        <f ca="1">IFERROR(__xludf.DUMMYFUNCTION("IMPORTRANGE(""https://docs.google.com/spreadsheets/d/1IYY_tgx_IHuhSq3AJ5eI5OnqOPBNLWSHKh2a30DoXe8/edit?usp=sharing"",""ภูเก็ต!J387"")"),0)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IFERROR(__xludf.DUMMYFUNCTION("IMPORTRANGE(""https://docs.google.com/spreadsheets/d/1IYY_tgx_IHuhSq3AJ5eI5OnqOPBNLWSHKh2a30DoXe8/edit?usp=sharing"",""ภูเก็ต!I388"")"),0)</f>
        <v>0</v>
      </c>
      <c r="J493" s="195">
        <f ca="1">IFERROR(__xludf.DUMMYFUNCTION("IMPORTRANGE(""https://docs.google.com/spreadsheets/d/1IYY_tgx_IHuhSq3AJ5eI5OnqOPBNLWSHKh2a30DoXe8/edit?usp=sharing"",""ภูเก็ต!J388"")"),0)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IFERROR(__xludf.DUMMYFUNCTION("IMPORTRANGE(""https://docs.google.com/spreadsheets/d/1IYY_tgx_IHuhSq3AJ5eI5OnqOPBNLWSHKh2a30DoXe8/edit?usp=sharing"",""ภูเก็ต!I389"")"),0)</f>
        <v>0</v>
      </c>
      <c r="J494" s="442">
        <f ca="1">IFERROR(__xludf.DUMMYFUNCTION("IMPORTRANGE(""https://docs.google.com/spreadsheets/d/1IYY_tgx_IHuhSq3AJ5eI5OnqOPBNLWSHKh2a30DoXe8/edit?usp=sharing"",""ภูเก็ต!J389"")"),0)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IFERROR(__xludf.DUMMYFUNCTION("IMPORTRANGE(""https://docs.google.com/spreadsheets/d/1IYY_tgx_IHuhSq3AJ5eI5OnqOPBNLWSHKh2a30DoXe8/edit?usp=sharing"",""ภูเก็ต!I390"")"),0)</f>
        <v>0</v>
      </c>
      <c r="J495" s="442">
        <f ca="1">IFERROR(__xludf.DUMMYFUNCTION("IMPORTRANGE(""https://docs.google.com/spreadsheets/d/1IYY_tgx_IHuhSq3AJ5eI5OnqOPBNLWSHKh2a30DoXe8/edit?usp=sharing"",""ภูเก็ต!J390"")"),0)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IFERROR(__xludf.DUMMYFUNCTION("IMPORTRANGE(""https://docs.google.com/spreadsheets/d/1IYY_tgx_IHuhSq3AJ5eI5OnqOPBNLWSHKh2a30DoXe8/edit?usp=sharing"",""ภูเก็ต!I391"")"),0)</f>
        <v>0</v>
      </c>
      <c r="J496" s="442">
        <f ca="1">IFERROR(__xludf.DUMMYFUNCTION("IMPORTRANGE(""https://docs.google.com/spreadsheets/d/1IYY_tgx_IHuhSq3AJ5eI5OnqOPBNLWSHKh2a30DoXe8/edit?usp=sharing"",""ภูเก็ต!J391"")"),0)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IFERROR(__xludf.DUMMYFUNCTION("IMPORTRANGE(""https://docs.google.com/spreadsheets/d/1IYY_tgx_IHuhSq3AJ5eI5OnqOPBNLWSHKh2a30DoXe8/edit?usp=sharing"",""ภูเก็ต!I392"")"),0)</f>
        <v>0</v>
      </c>
      <c r="J497" s="449">
        <f ca="1">IFERROR(__xludf.DUMMYFUNCTION("IMPORTRANGE(""https://docs.google.com/spreadsheets/d/1IYY_tgx_IHuhSq3AJ5eI5OnqOPBNLWSHKh2a30DoXe8/edit?usp=sharing"",""ภูเก็ต!J392"")"),0)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IFERROR(__xludf.DUMMYFUNCTION("IMPORTRANGE(""https://docs.google.com/spreadsheets/d/1IYY_tgx_IHuhSq3AJ5eI5OnqOPBNLWSHKh2a30DoXe8/edit?usp=sharing"",""ภูเก็ต!I393"")"),0)</f>
        <v>0</v>
      </c>
      <c r="J498" s="426">
        <f ca="1">IFERROR(__xludf.DUMMYFUNCTION("IMPORTRANGE(""https://docs.google.com/spreadsheets/d/1IYY_tgx_IHuhSq3AJ5eI5OnqOPBNLWSHKh2a30DoXe8/edit?usp=sharing"",""ภูเก็ต!J393"")"),0)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IFERROR(__xludf.DUMMYFUNCTION("IMPORTRANGE(""https://docs.google.com/spreadsheets/d/1IYY_tgx_IHuhSq3AJ5eI5OnqOPBNLWSHKh2a30DoXe8/edit?usp=sharing"",""ภูเก็ต!I394"")"),0)</f>
        <v>0</v>
      </c>
      <c r="J499" s="426">
        <f ca="1">IFERROR(__xludf.DUMMYFUNCTION("IMPORTRANGE(""https://docs.google.com/spreadsheets/d/1IYY_tgx_IHuhSq3AJ5eI5OnqOPBNLWSHKh2a30DoXe8/edit?usp=sharing"",""ภูเก็ต!J394"")"),0)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IFERROR(__xludf.DUMMYFUNCTION("IMPORTRANGE(""https://docs.google.com/spreadsheets/d/1IYY_tgx_IHuhSq3AJ5eI5OnqOPBNLWSHKh2a30DoXe8/edit?usp=sharing"",""ภูเก็ต!I395"")"),0)</f>
        <v>0</v>
      </c>
      <c r="J500" s="166">
        <f ca="1">IFERROR(__xludf.DUMMYFUNCTION("IMPORTRANGE(""https://docs.google.com/spreadsheets/d/1IYY_tgx_IHuhSq3AJ5eI5OnqOPBNLWSHKh2a30DoXe8/edit?usp=sharing"",""ภูเก็ต!J395"")"),0)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IFERROR(__xludf.DUMMYFUNCTION("IMPORTRANGE(""https://docs.google.com/spreadsheets/d/1IYY_tgx_IHuhSq3AJ5eI5OnqOPBNLWSHKh2a30DoXe8/edit?usp=sharing"",""ภูเก็ต!I396"")"),0)</f>
        <v>0</v>
      </c>
      <c r="J501" s="166">
        <f ca="1">IFERROR(__xludf.DUMMYFUNCTION("IMPORTRANGE(""https://docs.google.com/spreadsheets/d/1IYY_tgx_IHuhSq3AJ5eI5OnqOPBNLWSHKh2a30DoXe8/edit?usp=sharing"",""ภูเก็ต!J396"")"),0)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IFERROR(__xludf.DUMMYFUNCTION("IMPORTRANGE(""https://docs.google.com/spreadsheets/d/1IYY_tgx_IHuhSq3AJ5eI5OnqOPBNLWSHKh2a30DoXe8/edit?usp=sharing"",""ภูเก็ต!I397"")"),0)</f>
        <v>0</v>
      </c>
      <c r="J502" s="195">
        <f ca="1">IFERROR(__xludf.DUMMYFUNCTION("IMPORTRANGE(""https://docs.google.com/spreadsheets/d/1IYY_tgx_IHuhSq3AJ5eI5OnqOPBNLWSHKh2a30DoXe8/edit?usp=sharing"",""ภูเก็ต!J397"")"),0)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IFERROR(__xludf.DUMMYFUNCTION("IMPORTRANGE(""https://docs.google.com/spreadsheets/d/1IYY_tgx_IHuhSq3AJ5eI5OnqOPBNLWSHKh2a30DoXe8/edit?usp=sharing"",""ภูเก็ต!I398"")"),0)</f>
        <v>0</v>
      </c>
      <c r="J503" s="204">
        <f ca="1">IFERROR(__xludf.DUMMYFUNCTION("IMPORTRANGE(""https://docs.google.com/spreadsheets/d/1IYY_tgx_IHuhSq3AJ5eI5OnqOPBNLWSHKh2a30DoXe8/edit?usp=sharing"",""ภูเก็ต!J398"")"),0)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IFERROR(__xludf.DUMMYFUNCTION("IMPORTRANGE(""https://docs.google.com/spreadsheets/d/1IYY_tgx_IHuhSq3AJ5eI5OnqOPBNLWSHKh2a30DoXe8/edit?usp=sharing"",""ภูเก็ต!I399"")"),0)</f>
        <v>0</v>
      </c>
      <c r="J504" s="195">
        <f ca="1">IFERROR(__xludf.DUMMYFUNCTION("IMPORTRANGE(""https://docs.google.com/spreadsheets/d/1IYY_tgx_IHuhSq3AJ5eI5OnqOPBNLWSHKh2a30DoXe8/edit?usp=sharing"",""ภูเก็ต!J399"")"),0)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IFERROR(__xludf.DUMMYFUNCTION("IMPORTRANGE(""https://docs.google.com/spreadsheets/d/1IYY_tgx_IHuhSq3AJ5eI5OnqOPBNLWSHKh2a30DoXe8/edit?usp=sharing"",""ภูเก็ต!I400"")"),0)</f>
        <v>0</v>
      </c>
      <c r="J505" s="204">
        <f ca="1">IFERROR(__xludf.DUMMYFUNCTION("IMPORTRANGE(""https://docs.google.com/spreadsheets/d/1IYY_tgx_IHuhSq3AJ5eI5OnqOPBNLWSHKh2a30DoXe8/edit?usp=sharing"",""ภูเก็ต!J400"")"),0)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IFERROR(__xludf.DUMMYFUNCTION("IMPORTRANGE(""https://docs.google.com/spreadsheets/d/1IYY_tgx_IHuhSq3AJ5eI5OnqOPBNLWSHKh2a30DoXe8/edit?usp=sharing"",""ภูเก็ต!I401"")"),0)</f>
        <v>0</v>
      </c>
      <c r="J506" s="195">
        <f ca="1">IFERROR(__xludf.DUMMYFUNCTION("IMPORTRANGE(""https://docs.google.com/spreadsheets/d/1IYY_tgx_IHuhSq3AJ5eI5OnqOPBNLWSHKh2a30DoXe8/edit?usp=sharing"",""ภูเก็ต!J401"")"),0)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IFERROR(__xludf.DUMMYFUNCTION("IMPORTRANGE(""https://docs.google.com/spreadsheets/d/1IYY_tgx_IHuhSq3AJ5eI5OnqOPBNLWSHKh2a30DoXe8/edit?usp=sharing"",""ภูเก็ต!I402"")"),0)</f>
        <v>0</v>
      </c>
      <c r="J507" s="204">
        <f ca="1">IFERROR(__xludf.DUMMYFUNCTION("IMPORTRANGE(""https://docs.google.com/spreadsheets/d/1IYY_tgx_IHuhSq3AJ5eI5OnqOPBNLWSHKh2a30DoXe8/edit?usp=sharing"",""ภูเก็ต!J402"")"),0)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IFERROR(__xludf.DUMMYFUNCTION("IMPORTRANGE(""https://docs.google.com/spreadsheets/d/1IYY_tgx_IHuhSq3AJ5eI5OnqOPBNLWSHKh2a30DoXe8/edit?usp=sharing"",""ภูเก็ต!I403"")"),0)</f>
        <v>0</v>
      </c>
      <c r="J508" s="166">
        <f ca="1">IFERROR(__xludf.DUMMYFUNCTION("IMPORTRANGE(""https://docs.google.com/spreadsheets/d/1IYY_tgx_IHuhSq3AJ5eI5OnqOPBNLWSHKh2a30DoXe8/edit?usp=sharing"",""ภูเก็ต!J403"")"),0)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IFERROR(__xludf.DUMMYFUNCTION("IMPORTRANGE(""https://docs.google.com/spreadsheets/d/1IYY_tgx_IHuhSq3AJ5eI5OnqOPBNLWSHKh2a30DoXe8/edit?usp=sharing"",""ภูเก็ต!I404"")"),0)</f>
        <v>0</v>
      </c>
      <c r="J509" s="166">
        <f ca="1">IFERROR(__xludf.DUMMYFUNCTION("IMPORTRANGE(""https://docs.google.com/spreadsheets/d/1IYY_tgx_IHuhSq3AJ5eI5OnqOPBNLWSHKh2a30DoXe8/edit?usp=sharing"",""ภูเก็ต!J404"")"),0)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IFERROR(__xludf.DUMMYFUNCTION("IMPORTRANGE(""https://docs.google.com/spreadsheets/d/1IYY_tgx_IHuhSq3AJ5eI5OnqOPBNLWSHKh2a30DoXe8/edit?usp=sharing"",""ภูเก็ต!I405"")"),0)</f>
        <v>0</v>
      </c>
      <c r="J510" s="204">
        <f ca="1">IFERROR(__xludf.DUMMYFUNCTION("IMPORTRANGE(""https://docs.google.com/spreadsheets/d/1IYY_tgx_IHuhSq3AJ5eI5OnqOPBNLWSHKh2a30DoXe8/edit?usp=sharing"",""ภูเก็ต!J405"")"),0)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IFERROR(__xludf.DUMMYFUNCTION("IMPORTRANGE(""https://docs.google.com/spreadsheets/d/1IYY_tgx_IHuhSq3AJ5eI5OnqOPBNLWSHKh2a30DoXe8/edit?usp=sharing"",""ภูเก็ต!I406"")"),0)</f>
        <v>0</v>
      </c>
      <c r="J511" s="204">
        <f ca="1">IFERROR(__xludf.DUMMYFUNCTION("IMPORTRANGE(""https://docs.google.com/spreadsheets/d/1IYY_tgx_IHuhSq3AJ5eI5OnqOPBNLWSHKh2a30DoXe8/edit?usp=sharing"",""ภูเก็ต!J406"")"),0)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IFERROR(__xludf.DUMMYFUNCTION("IMPORTRANGE(""https://docs.google.com/spreadsheets/d/1IYY_tgx_IHuhSq3AJ5eI5OnqOPBNLWSHKh2a30DoXe8/edit?usp=sharing"",""ภูเก็ต!I407"")"),0)</f>
        <v>0</v>
      </c>
      <c r="J512" s="204">
        <f ca="1">IFERROR(__xludf.DUMMYFUNCTION("IMPORTRANGE(""https://docs.google.com/spreadsheets/d/1IYY_tgx_IHuhSq3AJ5eI5OnqOPBNLWSHKh2a30DoXe8/edit?usp=sharing"",""ภูเก็ต!J407"")"),0)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IFERROR(__xludf.DUMMYFUNCTION("IMPORTRANGE(""https://docs.google.com/spreadsheets/d/1IYY_tgx_IHuhSq3AJ5eI5OnqOPBNLWSHKh2a30DoXe8/edit?usp=sharing"",""ภูเก็ต!I408"")"),0)</f>
        <v>0</v>
      </c>
      <c r="J513" s="204">
        <f ca="1">IFERROR(__xludf.DUMMYFUNCTION("IMPORTRANGE(""https://docs.google.com/spreadsheets/d/1IYY_tgx_IHuhSq3AJ5eI5OnqOPBNLWSHKh2a30DoXe8/edit?usp=sharing"",""ภูเก็ต!J408"")"),0)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IFERROR(__xludf.DUMMYFUNCTION("IMPORTRANGE(""https://docs.google.com/spreadsheets/d/1IYY_tgx_IHuhSq3AJ5eI5OnqOPBNLWSHKh2a30DoXe8/edit?usp=sharing"",""ภูเก็ต!I409"")"),0)</f>
        <v>0</v>
      </c>
      <c r="J514" s="204">
        <f ca="1">IFERROR(__xludf.DUMMYFUNCTION("IMPORTRANGE(""https://docs.google.com/spreadsheets/d/1IYY_tgx_IHuhSq3AJ5eI5OnqOPBNLWSHKh2a30DoXe8/edit?usp=sharing"",""ภูเก็ต!J409"")"),0)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IFERROR(__xludf.DUMMYFUNCTION("IMPORTRANGE(""https://docs.google.com/spreadsheets/d/1IYY_tgx_IHuhSq3AJ5eI5OnqOPBNLWSHKh2a30DoXe8/edit?usp=sharing"",""ภูเก็ต!I410"")"),0)</f>
        <v>0</v>
      </c>
      <c r="J515" s="204">
        <f ca="1">IFERROR(__xludf.DUMMYFUNCTION("IMPORTRANGE(""https://docs.google.com/spreadsheets/d/1IYY_tgx_IHuhSq3AJ5eI5OnqOPBNLWSHKh2a30DoXe8/edit?usp=sharing"",""ภูเก็ต!J410"")"),0)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IFERROR(__xludf.DUMMYFUNCTION("IMPORTRANGE(""https://docs.google.com/spreadsheets/d/1IYY_tgx_IHuhSq3AJ5eI5OnqOPBNLWSHKh2a30DoXe8/edit?usp=sharing"",""ภูเก็ต!I411"")"),0)</f>
        <v>0</v>
      </c>
      <c r="J516" s="273">
        <f ca="1">IFERROR(__xludf.DUMMYFUNCTION("IMPORTRANGE(""https://docs.google.com/spreadsheets/d/1IYY_tgx_IHuhSq3AJ5eI5OnqOPBNLWSHKh2a30DoXe8/edit?usp=sharing"",""ภูเก็ต!J411"")"),0)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IFERROR(__xludf.DUMMYFUNCTION("IMPORTRANGE(""https://docs.google.com/spreadsheets/d/1IYY_tgx_IHuhSq3AJ5eI5OnqOPBNLWSHKh2a30DoXe8/edit?usp=sharing"",""ภูเก็ต!I412"")"),0)</f>
        <v>0</v>
      </c>
      <c r="J517" s="290">
        <f ca="1">IFERROR(__xludf.DUMMYFUNCTION("IMPORTRANGE(""https://docs.google.com/spreadsheets/d/1IYY_tgx_IHuhSq3AJ5eI5OnqOPBNLWSHKh2a30DoXe8/edit?usp=sharing"",""ภูเก็ต!J412"")"),0)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IFERROR(__xludf.DUMMYFUNCTION("IMPORTRANGE(""https://docs.google.com/spreadsheets/d/1IYY_tgx_IHuhSq3AJ5eI5OnqOPBNLWSHKh2a30DoXe8/edit?usp=sharing"",""ภูเก็ต!I413"")"),0)</f>
        <v>0</v>
      </c>
      <c r="J518" s="290">
        <f ca="1">IFERROR(__xludf.DUMMYFUNCTION("IMPORTRANGE(""https://docs.google.com/spreadsheets/d/1IYY_tgx_IHuhSq3AJ5eI5OnqOPBNLWSHKh2a30DoXe8/edit?usp=sharing"",""ภูเก็ต!J413"")"),0)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IFERROR(__xludf.DUMMYFUNCTION("IMPORTRANGE(""https://docs.google.com/spreadsheets/d/1IYY_tgx_IHuhSq3AJ5eI5OnqOPBNLWSHKh2a30DoXe8/edit?usp=sharing"",""ภูเก็ต!I414"")"),0)</f>
        <v>0</v>
      </c>
      <c r="J519" s="194">
        <f ca="1">IFERROR(__xludf.DUMMYFUNCTION("IMPORTRANGE(""https://docs.google.com/spreadsheets/d/1IYY_tgx_IHuhSq3AJ5eI5OnqOPBNLWSHKh2a30DoXe8/edit?usp=sharing"",""ภูเก็ต!J414"")"),0)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IFERROR(__xludf.DUMMYFUNCTION("IMPORTRANGE(""https://docs.google.com/spreadsheets/d/1IYY_tgx_IHuhSq3AJ5eI5OnqOPBNLWSHKh2a30DoXe8/edit?usp=sharing"",""ภูเก็ต!I415"")"),0)</f>
        <v>0</v>
      </c>
      <c r="J520" s="194">
        <f ca="1">IFERROR(__xludf.DUMMYFUNCTION("IMPORTRANGE(""https://docs.google.com/spreadsheets/d/1IYY_tgx_IHuhSq3AJ5eI5OnqOPBNLWSHKh2a30DoXe8/edit?usp=sharing"",""ภูเก็ต!J415"")"),0)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IFERROR(__xludf.DUMMYFUNCTION("IMPORTRANGE(""https://docs.google.com/spreadsheets/d/1IYY_tgx_IHuhSq3AJ5eI5OnqOPBNLWSHKh2a30DoXe8/edit?usp=sharing"",""ภูเก็ต!I416"")"),0)</f>
        <v>0</v>
      </c>
      <c r="J521" s="194">
        <f ca="1">IFERROR(__xludf.DUMMYFUNCTION("IMPORTRANGE(""https://docs.google.com/spreadsheets/d/1IYY_tgx_IHuhSq3AJ5eI5OnqOPBNLWSHKh2a30DoXe8/edit?usp=sharing"",""ภูเก็ต!J416"")"),0)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IFERROR(__xludf.DUMMYFUNCTION("IMPORTRANGE(""https://docs.google.com/spreadsheets/d/1IYY_tgx_IHuhSq3AJ5eI5OnqOPBNLWSHKh2a30DoXe8/edit?usp=sharing"",""ภูเก็ต!I417"")"),0)</f>
        <v>0</v>
      </c>
      <c r="J522" s="194">
        <f ca="1">IFERROR(__xludf.DUMMYFUNCTION("IMPORTRANGE(""https://docs.google.com/spreadsheets/d/1IYY_tgx_IHuhSq3AJ5eI5OnqOPBNLWSHKh2a30DoXe8/edit?usp=sharing"",""ภูเก็ต!J417"")"),0)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IFERROR(__xludf.DUMMYFUNCTION("IMPORTRANGE(""https://docs.google.com/spreadsheets/d/1IYY_tgx_IHuhSq3AJ5eI5OnqOPBNLWSHKh2a30DoXe8/edit?usp=sharing"",""ภูเก็ต!I418"")"),0)</f>
        <v>0</v>
      </c>
      <c r="J523" s="194">
        <f ca="1">IFERROR(__xludf.DUMMYFUNCTION("IMPORTRANGE(""https://docs.google.com/spreadsheets/d/1IYY_tgx_IHuhSq3AJ5eI5OnqOPBNLWSHKh2a30DoXe8/edit?usp=sharing"",""ภูเก็ต!J418"")"),0)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IFERROR(__xludf.DUMMYFUNCTION("IMPORTRANGE(""https://docs.google.com/spreadsheets/d/1IYY_tgx_IHuhSq3AJ5eI5OnqOPBNLWSHKh2a30DoXe8/edit?usp=sharing"",""ภูเก็ต!I419"")"),0)</f>
        <v>0</v>
      </c>
      <c r="J524" s="194">
        <f ca="1">IFERROR(__xludf.DUMMYFUNCTION("IMPORTRANGE(""https://docs.google.com/spreadsheets/d/1IYY_tgx_IHuhSq3AJ5eI5OnqOPBNLWSHKh2a30DoXe8/edit?usp=sharing"",""ภูเก็ต!J419"")"),0)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IFERROR(__xludf.DUMMYFUNCTION("IMPORTRANGE(""https://docs.google.com/spreadsheets/d/1IYY_tgx_IHuhSq3AJ5eI5OnqOPBNLWSHKh2a30DoXe8/edit?usp=sharing"",""ภูเก็ต!I420"")"),0)</f>
        <v>0</v>
      </c>
      <c r="J525" s="290">
        <f ca="1">IFERROR(__xludf.DUMMYFUNCTION("IMPORTRANGE(""https://docs.google.com/spreadsheets/d/1IYY_tgx_IHuhSq3AJ5eI5OnqOPBNLWSHKh2a30DoXe8/edit?usp=sharing"",""ภูเก็ต!J420"")"),0)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IFERROR(__xludf.DUMMYFUNCTION("IMPORTRANGE(""https://docs.google.com/spreadsheets/d/1IYY_tgx_IHuhSq3AJ5eI5OnqOPBNLWSHKh2a30DoXe8/edit?usp=sharing"",""ภูเก็ต!I421"")"),0)</f>
        <v>0</v>
      </c>
      <c r="J526" s="290">
        <f ca="1">IFERROR(__xludf.DUMMYFUNCTION("IMPORTRANGE(""https://docs.google.com/spreadsheets/d/1IYY_tgx_IHuhSq3AJ5eI5OnqOPBNLWSHKh2a30DoXe8/edit?usp=sharing"",""ภูเก็ต!J421"")"),0)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IFERROR(__xludf.DUMMYFUNCTION("IMPORTRANGE(""https://docs.google.com/spreadsheets/d/1IYY_tgx_IHuhSq3AJ5eI5OnqOPBNLWSHKh2a30DoXe8/edit?usp=sharing"",""ภูเก็ต!I422"")"),0)</f>
        <v>0</v>
      </c>
      <c r="J527" s="204">
        <f ca="1">IFERROR(__xludf.DUMMYFUNCTION("IMPORTRANGE(""https://docs.google.com/spreadsheets/d/1IYY_tgx_IHuhSq3AJ5eI5OnqOPBNLWSHKh2a30DoXe8/edit?usp=sharing"",""ภูเก็ต!J422"")"),0)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IFERROR(__xludf.DUMMYFUNCTION("IMPORTRANGE(""https://docs.google.com/spreadsheets/d/1IYY_tgx_IHuhSq3AJ5eI5OnqOPBNLWSHKh2a30DoXe8/edit?usp=sharing"",""ภูเก็ต!I423"")"),0)</f>
        <v>0</v>
      </c>
      <c r="J528" s="204">
        <f ca="1">IFERROR(__xludf.DUMMYFUNCTION("IMPORTRANGE(""https://docs.google.com/spreadsheets/d/1IYY_tgx_IHuhSq3AJ5eI5OnqOPBNLWSHKh2a30DoXe8/edit?usp=sharing"",""ภูเก็ต!J423"")"),0)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IFERROR(__xludf.DUMMYFUNCTION("IMPORTRANGE(""https://docs.google.com/spreadsheets/d/1IYY_tgx_IHuhSq3AJ5eI5OnqOPBNLWSHKh2a30DoXe8/edit?usp=sharing"",""ภูเก็ต!I424"")"),0)</f>
        <v>0</v>
      </c>
      <c r="J529" s="204">
        <f ca="1">IFERROR(__xludf.DUMMYFUNCTION("IMPORTRANGE(""https://docs.google.com/spreadsheets/d/1IYY_tgx_IHuhSq3AJ5eI5OnqOPBNLWSHKh2a30DoXe8/edit?usp=sharing"",""ภูเก็ต!J424"")"),0)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IFERROR(__xludf.DUMMYFUNCTION("IMPORTRANGE(""https://docs.google.com/spreadsheets/d/1IYY_tgx_IHuhSq3AJ5eI5OnqOPBNLWSHKh2a30DoXe8/edit?usp=sharing"",""ภูเก็ต!I425"")"),0)</f>
        <v>0</v>
      </c>
      <c r="J530" s="204">
        <f ca="1">IFERROR(__xludf.DUMMYFUNCTION("IMPORTRANGE(""https://docs.google.com/spreadsheets/d/1IYY_tgx_IHuhSq3AJ5eI5OnqOPBNLWSHKh2a30DoXe8/edit?usp=sharing"",""ภูเก็ต!J425"")"),0)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IFERROR(__xludf.DUMMYFUNCTION("IMPORTRANGE(""https://docs.google.com/spreadsheets/d/1IYY_tgx_IHuhSq3AJ5eI5OnqOPBNLWSHKh2a30DoXe8/edit?usp=sharing"",""ภูเก็ต!I426"")"),0)</f>
        <v>0</v>
      </c>
      <c r="J531" s="204">
        <f ca="1">IFERROR(__xludf.DUMMYFUNCTION("IMPORTRANGE(""https://docs.google.com/spreadsheets/d/1IYY_tgx_IHuhSq3AJ5eI5OnqOPBNLWSHKh2a30DoXe8/edit?usp=sharing"",""ภูเก็ต!J426"")"),0)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IFERROR(__xludf.DUMMYFUNCTION("IMPORTRANGE(""https://docs.google.com/spreadsheets/d/1IYY_tgx_IHuhSq3AJ5eI5OnqOPBNLWSHKh2a30DoXe8/edit?usp=sharing"",""ภูเก็ต!I427"")"),0)</f>
        <v>0</v>
      </c>
      <c r="J532" s="472">
        <f ca="1">IFERROR(__xludf.DUMMYFUNCTION("IMPORTRANGE(""https://docs.google.com/spreadsheets/d/1IYY_tgx_IHuhSq3AJ5eI5OnqOPBNLWSHKh2a30DoXe8/edit?usp=sharing"",""ภูเก็ต!J427"")"),0)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IFERROR(__xludf.DUMMYFUNCTION("IMPORTRANGE(""https://docs.google.com/spreadsheets/d/1IYY_tgx_IHuhSq3AJ5eI5OnqOPBNLWSHKh2a30DoXe8/edit?usp=sharing"",""ภูเก็ต!I428"")"),13)</f>
        <v>13</v>
      </c>
      <c r="J533" s="416">
        <f ca="1">IFERROR(__xludf.DUMMYFUNCTION("IMPORTRANGE(""https://docs.google.com/spreadsheets/d/1IYY_tgx_IHuhSq3AJ5eI5OnqOPBNLWSHKh2a30DoXe8/edit?usp=sharing"",""ภูเก็ต!J428"")"),13)</f>
        <v>13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IFERROR(__xludf.DUMMYFUNCTION("IMPORTRANGE(""https://docs.google.com/spreadsheets/d/1IYY_tgx_IHuhSq3AJ5eI5OnqOPBNLWSHKh2a30DoXe8/edit?usp=sharing"",""ภูเก็ต!L428"")"),26700)</f>
        <v>26700</v>
      </c>
      <c r="M533" s="418"/>
      <c r="N533" s="418">
        <f ca="1">IFERROR(__xludf.DUMMYFUNCTION("IMPORTRANGE(""https://docs.google.com/spreadsheets/d/1IYY_tgx_IHuhSq3AJ5eI5OnqOPBNLWSHKh2a30DoXe8/edit?usp=sharing"",""ภูเก็ต!M428"")"),11100)</f>
        <v>11100</v>
      </c>
      <c r="O533" s="418">
        <f t="shared" ref="O533:O537" ca="1" si="118">+IF(L533&gt;0,N533*100/L533,0)</f>
        <v>41.573033707865171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IFERROR(__xludf.DUMMYFUNCTION("IMPORTRANGE(""https://docs.google.com/spreadsheets/d/1IYY_tgx_IHuhSq3AJ5eI5OnqOPBNLWSHKh2a30DoXe8/edit?usp=sharing"",""ภูเก็ต!L429"")"),0)</f>
        <v>0</v>
      </c>
      <c r="M534" s="168"/>
      <c r="N534" s="175">
        <f ca="1">IFERROR(__xludf.DUMMYFUNCTION("IMPORTRANGE(""https://docs.google.com/spreadsheets/d/1IYY_tgx_IHuhSq3AJ5eI5OnqOPBNLWSHKh2a30DoXe8/edit?usp=sharing"",""ภูเก็ต!M429"")"),0)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IFERROR(__xludf.DUMMYFUNCTION("IMPORTRANGE(""https://docs.google.com/spreadsheets/d/1IYY_tgx_IHuhSq3AJ5eI5OnqOPBNLWSHKh2a30DoXe8/edit?usp=sharing"",""ภูเก็ต!L430"")"),26700)</f>
        <v>26700</v>
      </c>
      <c r="M535" s="169"/>
      <c r="N535" s="175">
        <f ca="1">IFERROR(__xludf.DUMMYFUNCTION("IMPORTRANGE(""https://docs.google.com/spreadsheets/d/1IYY_tgx_IHuhSq3AJ5eI5OnqOPBNLWSHKh2a30DoXe8/edit?usp=sharing"",""ภูเก็ต!M430"")"),11100)</f>
        <v>11100</v>
      </c>
      <c r="O535" s="175">
        <f t="shared" ca="1" si="118"/>
        <v>41.573033707865171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IFERROR(__xludf.DUMMYFUNCTION("IMPORTRANGE(""https://docs.google.com/spreadsheets/d/1IYY_tgx_IHuhSq3AJ5eI5OnqOPBNLWSHKh2a30DoXe8/edit?usp=sharing"",""ภูเก็ต!L431"")"),0)</f>
        <v>0</v>
      </c>
      <c r="M536" s="175"/>
      <c r="N536" s="175">
        <f ca="1">IFERROR(__xludf.DUMMYFUNCTION("IMPORTRANGE(""https://docs.google.com/spreadsheets/d/1IYY_tgx_IHuhSq3AJ5eI5OnqOPBNLWSHKh2a30DoXe8/edit?usp=sharing"",""ภูเก็ต!M431"")"),0)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IFERROR(__xludf.DUMMYFUNCTION("IMPORTRANGE(""https://docs.google.com/spreadsheets/d/1IYY_tgx_IHuhSq3AJ5eI5OnqOPBNLWSHKh2a30DoXe8/edit?usp=sharing"",""ภูเก็ต!L432"")"),26700)</f>
        <v>26700</v>
      </c>
      <c r="M537" s="175"/>
      <c r="N537" s="175">
        <f ca="1">IFERROR(__xludf.DUMMYFUNCTION("IMPORTRANGE(""https://docs.google.com/spreadsheets/d/1IYY_tgx_IHuhSq3AJ5eI5OnqOPBNLWSHKh2a30DoXe8/edit?usp=sharing"",""ภูเก็ต!M432"")"),11100)</f>
        <v>11100</v>
      </c>
      <c r="O537" s="175">
        <f t="shared" ca="1" si="118"/>
        <v>41.573033707865171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IFERROR(__xludf.DUMMYFUNCTION("IMPORTRANGE(""https://docs.google.com/spreadsheets/d/1IYY_tgx_IHuhSq3AJ5eI5OnqOPBNLWSHKh2a30DoXe8/edit?usp=sharing"",""ภูเก็ต!M433"")"),11100)</f>
        <v>11100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IFERROR(__xludf.DUMMYFUNCTION("IMPORTRANGE(""https://docs.google.com/spreadsheets/d/1IYY_tgx_IHuhSq3AJ5eI5OnqOPBNLWSHKh2a30DoXe8/edit?usp=sharing"",""ภูเก็ต!M434"")"),0)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IFERROR(__xludf.DUMMYFUNCTION("IMPORTRANGE(""https://docs.google.com/spreadsheets/d/1IYY_tgx_IHuhSq3AJ5eI5OnqOPBNLWSHKh2a30DoXe8/edit?usp=sharing"",""ภูเก็ต!M435"")"),0)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IFERROR(__xludf.DUMMYFUNCTION("IMPORTRANGE(""https://docs.google.com/spreadsheets/d/1IYY_tgx_IHuhSq3AJ5eI5OnqOPBNLWSHKh2a30DoXe8/edit?usp=sharing"",""ภูเก็ต!M436"")"),0)</f>
        <v>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IFERROR(__xludf.DUMMYFUNCTION("IMPORTRANGE(""https://docs.google.com/spreadsheets/d/1IYY_tgx_IHuhSq3AJ5eI5OnqOPBNLWSHKh2a30DoXe8/edit?usp=sharing"",""ภูเก็ต!J438"")"),0)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IFERROR(__xludf.DUMMYFUNCTION("IMPORTRANGE(""https://docs.google.com/spreadsheets/d/1IYY_tgx_IHuhSq3AJ5eI5OnqOPBNLWSHKh2a30DoXe8/edit?usp=sharing"",""ภูเก็ต!J439"")"),1)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IFERROR(__xludf.DUMMYFUNCTION("IMPORTRANGE(""https://docs.google.com/spreadsheets/d/1IYY_tgx_IHuhSq3AJ5eI5OnqOPBNLWSHKh2a30DoXe8/edit?usp=sharing"",""ภูเก็ต!J440"")"),1)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IFERROR(__xludf.DUMMYFUNCTION("IMPORTRANGE(""https://docs.google.com/spreadsheets/d/1IYY_tgx_IHuhSq3AJ5eI5OnqOPBNLWSHKh2a30DoXe8/edit?usp=sharing"",""ภูเก็ต!J441"")"),1)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IFERROR(__xludf.DUMMYFUNCTION("IMPORTRANGE(""https://docs.google.com/spreadsheets/d/1IYY_tgx_IHuhSq3AJ5eI5OnqOPBNLWSHKh2a30DoXe8/edit?usp=sharing"",""ภูเก็ต!I442"")"),13)</f>
        <v>13</v>
      </c>
      <c r="J547" s="195">
        <f ca="1">IFERROR(__xludf.DUMMYFUNCTION("IMPORTRANGE(""https://docs.google.com/spreadsheets/d/1IYY_tgx_IHuhSq3AJ5eI5OnqOPBNLWSHKh2a30DoXe8/edit?usp=sharing"",""ภูเก็ต!J442"")"),13)</f>
        <v>13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IFERROR(__xludf.DUMMYFUNCTION("IMPORTRANGE(""https://docs.google.com/spreadsheets/d/1IYY_tgx_IHuhSq3AJ5eI5OnqOPBNLWSHKh2a30DoXe8/edit?usp=sharing"",""ภูเก็ต!J166"")"),0)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IFERROR(__xludf.DUMMYFUNCTION("IMPORTRANGE(""https://docs.google.com/spreadsheets/d/1IYY_tgx_IHuhSq3AJ5eI5OnqOPBNLWSHKh2a30DoXe8/edit?usp=sharing"",""ภูเก็ต!J444"")"),0)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IFERROR(__xludf.DUMMYFUNCTION("IMPORTRANGE(""https://docs.google.com/spreadsheets/d/1IYY_tgx_IHuhSq3AJ5eI5OnqOPBNLWSHKh2a30DoXe8/edit?usp=sharing"",""ภูเก็ต!J445"")"),0)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IFERROR(__xludf.DUMMYFUNCTION("IMPORTRANGE(""https://docs.google.com/spreadsheets/d/1IYY_tgx_IHuhSq3AJ5eI5OnqOPBNLWSHKh2a30DoXe8/edit?usp=sharing"",""ภูเก็ต!I446"")"),0)</f>
        <v>0</v>
      </c>
      <c r="J551" s="416">
        <f ca="1">IFERROR(__xludf.DUMMYFUNCTION("IMPORTRANGE(""https://docs.google.com/spreadsheets/d/1IYY_tgx_IHuhSq3AJ5eI5OnqOPBNLWSHKh2a30DoXe8/edit?usp=sharing"",""ภูเก็ต!J446"")"),0)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IFERROR(__xludf.DUMMYFUNCTION("IMPORTRANGE(""https://docs.google.com/spreadsheets/d/1IYY_tgx_IHuhSq3AJ5eI5OnqOPBNLWSHKh2a30DoXe8/edit?usp=sharing"",""ภูเก็ต!L446"")"),0)</f>
        <v>0</v>
      </c>
      <c r="M551" s="418"/>
      <c r="N551" s="418">
        <f ca="1">IFERROR(__xludf.DUMMYFUNCTION("IMPORTRANGE(""https://docs.google.com/spreadsheets/d/1IYY_tgx_IHuhSq3AJ5eI5OnqOPBNLWSHKh2a30DoXe8/edit?usp=sharing"",""ภูเก็ต!M446"")"),0)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IFERROR(__xludf.DUMMYFUNCTION("IMPORTRANGE(""https://docs.google.com/spreadsheets/d/1IYY_tgx_IHuhSq3AJ5eI5OnqOPBNLWSHKh2a30DoXe8/edit?usp=sharing"",""ภูเก็ต!L447"")"),0)</f>
        <v>0</v>
      </c>
      <c r="M552" s="168"/>
      <c r="N552" s="175">
        <f ca="1">IFERROR(__xludf.DUMMYFUNCTION("IMPORTRANGE(""https://docs.google.com/spreadsheets/d/1IYY_tgx_IHuhSq3AJ5eI5OnqOPBNLWSHKh2a30DoXe8/edit?usp=sharing"",""ภูเก็ต!M447"")"),0)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IFERROR(__xludf.DUMMYFUNCTION("IMPORTRANGE(""https://docs.google.com/spreadsheets/d/1IYY_tgx_IHuhSq3AJ5eI5OnqOPBNLWSHKh2a30DoXe8/edit?usp=sharing"",""ภูเก็ต!L448"")"),0)</f>
        <v>0</v>
      </c>
      <c r="M553" s="169"/>
      <c r="N553" s="175">
        <f ca="1">IFERROR(__xludf.DUMMYFUNCTION("IMPORTRANGE(""https://docs.google.com/spreadsheets/d/1IYY_tgx_IHuhSq3AJ5eI5OnqOPBNLWSHKh2a30DoXe8/edit?usp=sharing"",""ภูเก็ต!M448"")"),0)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IFERROR(__xludf.DUMMYFUNCTION("IMPORTRANGE(""https://docs.google.com/spreadsheets/d/1IYY_tgx_IHuhSq3AJ5eI5OnqOPBNLWSHKh2a30DoXe8/edit?usp=sharing"",""ภูเก็ต!L449"")"),0)</f>
        <v>0</v>
      </c>
      <c r="M554" s="175"/>
      <c r="N554" s="175">
        <f ca="1">IFERROR(__xludf.DUMMYFUNCTION("IMPORTRANGE(""https://docs.google.com/spreadsheets/d/1IYY_tgx_IHuhSq3AJ5eI5OnqOPBNLWSHKh2a30DoXe8/edit?usp=sharing"",""ภูเก็ต!M449"")"),0)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IFERROR(__xludf.DUMMYFUNCTION("IMPORTRANGE(""https://docs.google.com/spreadsheets/d/1IYY_tgx_IHuhSq3AJ5eI5OnqOPBNLWSHKh2a30DoXe8/edit?usp=sharing"",""ภูเก็ต!L450"")"),0)</f>
        <v>0</v>
      </c>
      <c r="M555" s="175"/>
      <c r="N555" s="175">
        <f ca="1">IFERROR(__xludf.DUMMYFUNCTION("IMPORTRANGE(""https://docs.google.com/spreadsheets/d/1IYY_tgx_IHuhSq3AJ5eI5OnqOPBNLWSHKh2a30DoXe8/edit?usp=sharing"",""ภูเก็ต!M450"")"),0)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IFERROR(__xludf.DUMMYFUNCTION("IMPORTRANGE(""https://docs.google.com/spreadsheets/d/1IYY_tgx_IHuhSq3AJ5eI5OnqOPBNLWSHKh2a30DoXe8/edit?usp=sharing"",""ภูเก็ต!M451"")"),0)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IFERROR(__xludf.DUMMYFUNCTION("IMPORTRANGE(""https://docs.google.com/spreadsheets/d/1IYY_tgx_IHuhSq3AJ5eI5OnqOPBNLWSHKh2a30DoXe8/edit?usp=sharing"",""ภูเก็ต!M452"")"),0)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IFERROR(__xludf.DUMMYFUNCTION("IMPORTRANGE(""https://docs.google.com/spreadsheets/d/1IYY_tgx_IHuhSq3AJ5eI5OnqOPBNLWSHKh2a30DoXe8/edit?usp=sharing"",""ภูเก็ต!M453"")"),0)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IFERROR(__xludf.DUMMYFUNCTION("IMPORTRANGE(""https://docs.google.com/spreadsheets/d/1IYY_tgx_IHuhSq3AJ5eI5OnqOPBNLWSHKh2a30DoXe8/edit?usp=sharing"",""ภูเก็ต!M454"")"),0)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IFERROR(__xludf.DUMMYFUNCTION("IMPORTRANGE(""https://docs.google.com/spreadsheets/d/1IYY_tgx_IHuhSq3AJ5eI5OnqOPBNLWSHKh2a30DoXe8/edit?usp=sharing"",""ภูเก็ต!I455"")"),0)</f>
        <v>0</v>
      </c>
      <c r="J560" s="166">
        <f ca="1">IFERROR(__xludf.DUMMYFUNCTION("IMPORTRANGE(""https://docs.google.com/spreadsheets/d/1IYY_tgx_IHuhSq3AJ5eI5OnqOPBNLWSHKh2a30DoXe8/edit?usp=sharing"",""ภูเก็ต!J455"")"),0)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IFERROR(__xludf.DUMMYFUNCTION("IMPORTRANGE(""https://docs.google.com/spreadsheets/d/1IYY_tgx_IHuhSq3AJ5eI5OnqOPBNLWSHKh2a30DoXe8/edit?usp=sharing"",""ภูเก็ต!I456"")"),0)</f>
        <v>0</v>
      </c>
      <c r="J561" s="210">
        <f ca="1">IFERROR(__xludf.DUMMYFUNCTION("IMPORTRANGE(""https://docs.google.com/spreadsheets/d/1IYY_tgx_IHuhSq3AJ5eI5OnqOPBNLWSHKh2a30DoXe8/edit?usp=sharing"",""ภูเก็ต!J456"")"),0)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IFERROR(__xludf.DUMMYFUNCTION("IMPORTRANGE(""https://docs.google.com/spreadsheets/d/1IYY_tgx_IHuhSq3AJ5eI5OnqOPBNLWSHKh2a30DoXe8/edit?usp=sharing"",""ภูเก็ต!I459"")"),50)</f>
        <v>50</v>
      </c>
      <c r="J564" s="377">
        <f ca="1">IFERROR(__xludf.DUMMYFUNCTION("IMPORTRANGE(""https://docs.google.com/spreadsheets/d/1IYY_tgx_IHuhSq3AJ5eI5OnqOPBNLWSHKh2a30DoXe8/edit?usp=sharing"",""ภูเก็ต!J459"")"),67)</f>
        <v>67</v>
      </c>
      <c r="K564" s="378">
        <f ca="1">IF(I564&gt;0,J564*100/I564,0)</f>
        <v>134</v>
      </c>
      <c r="L564" s="379">
        <f ca="1">IFERROR(__xludf.DUMMYFUNCTION("IMPORTRANGE(""https://docs.google.com/spreadsheets/d/1IYY_tgx_IHuhSq3AJ5eI5OnqOPBNLWSHKh2a30DoXe8/edit?usp=sharing"",""ภูเก็ต!L459"")"),119920)</f>
        <v>119920</v>
      </c>
      <c r="M564" s="379"/>
      <c r="N564" s="379">
        <f ca="1">IFERROR(__xludf.DUMMYFUNCTION("IMPORTRANGE(""https://docs.google.com/spreadsheets/d/1IYY_tgx_IHuhSq3AJ5eI5OnqOPBNLWSHKh2a30DoXe8/edit?usp=sharing"",""ภูเก็ต!M459"")"),52400)</f>
        <v>52400</v>
      </c>
      <c r="O564" s="379">
        <f t="shared" ref="O564:O568" ca="1" si="122">+IF(L564&gt;0,N564*100/L564,0)</f>
        <v>43.695797198132091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IFERROR(__xludf.DUMMYFUNCTION("IMPORTRANGE(""https://docs.google.com/spreadsheets/d/1IYY_tgx_IHuhSq3AJ5eI5OnqOPBNLWSHKh2a30DoXe8/edit?usp=sharing"",""ภูเก็ต!L460"")"),0)</f>
        <v>0</v>
      </c>
      <c r="M565" s="168"/>
      <c r="N565" s="175">
        <f ca="1">IFERROR(__xludf.DUMMYFUNCTION("IMPORTRANGE(""https://docs.google.com/spreadsheets/d/1IYY_tgx_IHuhSq3AJ5eI5OnqOPBNLWSHKh2a30DoXe8/edit?usp=sharing"",""ภูเก็ต!M460"")"),0)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IFERROR(__xludf.DUMMYFUNCTION("IMPORTRANGE(""https://docs.google.com/spreadsheets/d/1IYY_tgx_IHuhSq3AJ5eI5OnqOPBNLWSHKh2a30DoXe8/edit?usp=sharing"",""ภูเก็ต!L461"")"),119920)</f>
        <v>119920</v>
      </c>
      <c r="M566" s="169"/>
      <c r="N566" s="175">
        <f ca="1">IFERROR(__xludf.DUMMYFUNCTION("IMPORTRANGE(""https://docs.google.com/spreadsheets/d/1IYY_tgx_IHuhSq3AJ5eI5OnqOPBNLWSHKh2a30DoXe8/edit?usp=sharing"",""ภูเก็ต!M461"")"),52400)</f>
        <v>52400</v>
      </c>
      <c r="O566" s="175">
        <f t="shared" ca="1" si="122"/>
        <v>43.695797198132091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IFERROR(__xludf.DUMMYFUNCTION("IMPORTRANGE(""https://docs.google.com/spreadsheets/d/1IYY_tgx_IHuhSq3AJ5eI5OnqOPBNLWSHKh2a30DoXe8/edit?usp=sharing"",""ภูเก็ต!L462"")"),0)</f>
        <v>0</v>
      </c>
      <c r="M567" s="175"/>
      <c r="N567" s="175">
        <f ca="1">IFERROR(__xludf.DUMMYFUNCTION("IMPORTRANGE(""https://docs.google.com/spreadsheets/d/1IYY_tgx_IHuhSq3AJ5eI5OnqOPBNLWSHKh2a30DoXe8/edit?usp=sharing"",""ภูเก็ต!M462"")"),0)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IFERROR(__xludf.DUMMYFUNCTION("IMPORTRANGE(""https://docs.google.com/spreadsheets/d/1IYY_tgx_IHuhSq3AJ5eI5OnqOPBNLWSHKh2a30DoXe8/edit?usp=sharing"",""ภูเก็ต!L463"")"),119920)</f>
        <v>119920</v>
      </c>
      <c r="M568" s="175"/>
      <c r="N568" s="175">
        <f ca="1">IFERROR(__xludf.DUMMYFUNCTION("IMPORTRANGE(""https://docs.google.com/spreadsheets/d/1IYY_tgx_IHuhSq3AJ5eI5OnqOPBNLWSHKh2a30DoXe8/edit?usp=sharing"",""ภูเก็ต!M463"")"),52400)</f>
        <v>52400</v>
      </c>
      <c r="O568" s="175">
        <f t="shared" ca="1" si="122"/>
        <v>43.695797198132091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IFERROR(__xludf.DUMMYFUNCTION("IMPORTRANGE(""https://docs.google.com/spreadsheets/d/1IYY_tgx_IHuhSq3AJ5eI5OnqOPBNLWSHKh2a30DoXe8/edit?usp=sharing"",""ภูเก็ต!M464"")"),0)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IFERROR(__xludf.DUMMYFUNCTION("IMPORTRANGE(""https://docs.google.com/spreadsheets/d/1IYY_tgx_IHuhSq3AJ5eI5OnqOPBNLWSHKh2a30DoXe8/edit?usp=sharing"",""ภูเก็ต!M465"")"),0)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IFERROR(__xludf.DUMMYFUNCTION("IMPORTRANGE(""https://docs.google.com/spreadsheets/d/1IYY_tgx_IHuhSq3AJ5eI5OnqOPBNLWSHKh2a30DoXe8/edit?usp=sharing"",""ภูเก็ต!M466"")"),51700)</f>
        <v>51700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IFERROR(__xludf.DUMMYFUNCTION("IMPORTRANGE(""https://docs.google.com/spreadsheets/d/1IYY_tgx_IHuhSq3AJ5eI5OnqOPBNLWSHKh2a30DoXe8/edit?usp=sharing"",""ภูเก็ต!M467"")"),700)</f>
        <v>700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IFERROR(__xludf.DUMMYFUNCTION("IMPORTRANGE(""https://docs.google.com/spreadsheets/d/1IYY_tgx_IHuhSq3AJ5eI5OnqOPBNLWSHKh2a30DoXe8/edit?usp=sharing"",""ภูเก็ต!I468"")"),50)</f>
        <v>50</v>
      </c>
      <c r="J573" s="426">
        <f ca="1">IFERROR(__xludf.DUMMYFUNCTION("IMPORTRANGE(""https://docs.google.com/spreadsheets/d/1IYY_tgx_IHuhSq3AJ5eI5OnqOPBNLWSHKh2a30DoXe8/edit?usp=sharing"",""ภูเก็ต!J468"")"),67)</f>
        <v>67</v>
      </c>
      <c r="K573" s="208">
        <f ca="1">IF(I573&gt;0,J573*100/I573,0)</f>
        <v>134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IFERROR(__xludf.DUMMYFUNCTION("IMPORTRANGE(""https://docs.google.com/spreadsheets/d/1IYY_tgx_IHuhSq3AJ5eI5OnqOPBNLWSHKh2a30DoXe8/edit?usp=sharing"",""ภูเก็ต!I470"")"),0)</f>
        <v>0</v>
      </c>
      <c r="J575" s="204">
        <f ca="1">IFERROR(__xludf.DUMMYFUNCTION("IMPORTRANGE(""https://docs.google.com/spreadsheets/d/1IYY_tgx_IHuhSq3AJ5eI5OnqOPBNLWSHKh2a30DoXe8/edit?usp=sharing"",""ภูเก็ต!J470"")"),1)</f>
        <v>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IFERROR(__xludf.DUMMYFUNCTION("IMPORTRANGE(""https://docs.google.com/spreadsheets/d/1IYY_tgx_IHuhSq3AJ5eI5OnqOPBNLWSHKh2a30DoXe8/edit?usp=sharing"",""ภูเก็ต!I471"")"),0)</f>
        <v>0</v>
      </c>
      <c r="J576" s="204">
        <f ca="1">IFERROR(__xludf.DUMMYFUNCTION("IMPORTRANGE(""https://docs.google.com/spreadsheets/d/1IYY_tgx_IHuhSq3AJ5eI5OnqOPBNLWSHKh2a30DoXe8/edit?usp=sharing"",""ภูเก็ต!J471"")"),2)</f>
        <v>2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IFERROR(__xludf.DUMMYFUNCTION("IMPORTRANGE(""https://docs.google.com/spreadsheets/d/1IYY_tgx_IHuhSq3AJ5eI5OnqOPBNLWSHKh2a30DoXe8/edit?usp=sharing"",""ภูเก็ต!I472"")"),0)</f>
        <v>0</v>
      </c>
      <c r="J577" s="195">
        <f ca="1">IFERROR(__xludf.DUMMYFUNCTION("IMPORTRANGE(""https://docs.google.com/spreadsheets/d/1IYY_tgx_IHuhSq3AJ5eI5OnqOPBNLWSHKh2a30DoXe8/edit?usp=sharing"",""ภูเก็ต!J472"")"),65)</f>
        <v>65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IFERROR(__xludf.DUMMYFUNCTION("IMPORTRANGE(""https://docs.google.com/spreadsheets/d/1IYY_tgx_IHuhSq3AJ5eI5OnqOPBNLWSHKh2a30DoXe8/edit?usp=sharing"",""ภูเก็ต!I473"")"),0)</f>
        <v>0</v>
      </c>
      <c r="J578" s="204">
        <f ca="1">IFERROR(__xludf.DUMMYFUNCTION("IMPORTRANGE(""https://docs.google.com/spreadsheets/d/1IYY_tgx_IHuhSq3AJ5eI5OnqOPBNLWSHKh2a30DoXe8/edit?usp=sharing"",""ภูเก็ต!J473"")"),0)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IFERROR(__xludf.DUMMYFUNCTION("IMPORTRANGE(""https://docs.google.com/spreadsheets/d/1IYY_tgx_IHuhSq3AJ5eI5OnqOPBNLWSHKh2a30DoXe8/edit?usp=sharing"",""ภูเก็ต!I474"")"),0)</f>
        <v>0</v>
      </c>
      <c r="J579" s="204">
        <f ca="1">IFERROR(__xludf.DUMMYFUNCTION("IMPORTRANGE(""https://docs.google.com/spreadsheets/d/1IYY_tgx_IHuhSq3AJ5eI5OnqOPBNLWSHKh2a30DoXe8/edit?usp=sharing"",""ภูเก็ต!J474"")"),0)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IFERROR(__xludf.DUMMYFUNCTION("IMPORTRANGE(""https://docs.google.com/spreadsheets/d/1IYY_tgx_IHuhSq3AJ5eI5OnqOPBNLWSHKh2a30DoXe8/edit?usp=sharing"",""ภูเก็ต!I475"")"),0)</f>
        <v>0</v>
      </c>
      <c r="J580" s="377">
        <f ca="1">IFERROR(__xludf.DUMMYFUNCTION("IMPORTRANGE(""https://docs.google.com/spreadsheets/d/1IYY_tgx_IHuhSq3AJ5eI5OnqOPBNLWSHKh2a30DoXe8/edit?usp=sharing"",""ภูเก็ต!J475"")"),0)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IFERROR(__xludf.DUMMYFUNCTION("IMPORTRANGE(""https://docs.google.com/spreadsheets/d/1IYY_tgx_IHuhSq3AJ5eI5OnqOPBNLWSHKh2a30DoXe8/edit?usp=sharing"",""ภูเก็ต!L475"")"),0)</f>
        <v>0</v>
      </c>
      <c r="M580" s="379"/>
      <c r="N580" s="379">
        <f ca="1">IFERROR(__xludf.DUMMYFUNCTION("IMPORTRANGE(""https://docs.google.com/spreadsheets/d/1IYY_tgx_IHuhSq3AJ5eI5OnqOPBNLWSHKh2a30DoXe8/edit?usp=sharing"",""ภูเก็ต!M475"")"),0)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IFERROR(__xludf.DUMMYFUNCTION("IMPORTRANGE(""https://docs.google.com/spreadsheets/d/1IYY_tgx_IHuhSq3AJ5eI5OnqOPBNLWSHKh2a30DoXe8/edit?usp=sharing"",""ภูเก็ต!L476"")"),0)</f>
        <v>0</v>
      </c>
      <c r="M581" s="168"/>
      <c r="N581" s="175">
        <f ca="1">IFERROR(__xludf.DUMMYFUNCTION("IMPORTRANGE(""https://docs.google.com/spreadsheets/d/1IYY_tgx_IHuhSq3AJ5eI5OnqOPBNLWSHKh2a30DoXe8/edit?usp=sharing"",""ภูเก็ต!M476"")"),0)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IFERROR(__xludf.DUMMYFUNCTION("IMPORTRANGE(""https://docs.google.com/spreadsheets/d/1IYY_tgx_IHuhSq3AJ5eI5OnqOPBNLWSHKh2a30DoXe8/edit?usp=sharing"",""ภูเก็ต!L477"")"),0)</f>
        <v>0</v>
      </c>
      <c r="M582" s="169"/>
      <c r="N582" s="175">
        <f ca="1">IFERROR(__xludf.DUMMYFUNCTION("IMPORTRANGE(""https://docs.google.com/spreadsheets/d/1IYY_tgx_IHuhSq3AJ5eI5OnqOPBNLWSHKh2a30DoXe8/edit?usp=sharing"",""ภูเก็ต!M477"")"),0)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IFERROR(__xludf.DUMMYFUNCTION("IMPORTRANGE(""https://docs.google.com/spreadsheets/d/1IYY_tgx_IHuhSq3AJ5eI5OnqOPBNLWSHKh2a30DoXe8/edit?usp=sharing"",""ภูเก็ต!L478"")"),0)</f>
        <v>0</v>
      </c>
      <c r="M583" s="175"/>
      <c r="N583" s="175">
        <f ca="1">IFERROR(__xludf.DUMMYFUNCTION("IMPORTRANGE(""https://docs.google.com/spreadsheets/d/1IYY_tgx_IHuhSq3AJ5eI5OnqOPBNLWSHKh2a30DoXe8/edit?usp=sharing"",""ภูเก็ต!M478"")"),0)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IFERROR(__xludf.DUMMYFUNCTION("IMPORTRANGE(""https://docs.google.com/spreadsheets/d/1IYY_tgx_IHuhSq3AJ5eI5OnqOPBNLWSHKh2a30DoXe8/edit?usp=sharing"",""ภูเก็ต!L479"")"),0)</f>
        <v>0</v>
      </c>
      <c r="M584" s="175"/>
      <c r="N584" s="175">
        <f ca="1">IFERROR(__xludf.DUMMYFUNCTION("IMPORTRANGE(""https://docs.google.com/spreadsheets/d/1IYY_tgx_IHuhSq3AJ5eI5OnqOPBNLWSHKh2a30DoXe8/edit?usp=sharing"",""ภูเก็ต!M479"")"),0)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IFERROR(__xludf.DUMMYFUNCTION("IMPORTRANGE(""https://docs.google.com/spreadsheets/d/1IYY_tgx_IHuhSq3AJ5eI5OnqOPBNLWSHKh2a30DoXe8/edit?usp=sharing"",""ภูเก็ต!M480"")"),0)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IFERROR(__xludf.DUMMYFUNCTION("IMPORTRANGE(""https://docs.google.com/spreadsheets/d/1IYY_tgx_IHuhSq3AJ5eI5OnqOPBNLWSHKh2a30DoXe8/edit?usp=sharing"",""ภูเก็ต!M481"")"),0)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IFERROR(__xludf.DUMMYFUNCTION("IMPORTRANGE(""https://docs.google.com/spreadsheets/d/1IYY_tgx_IHuhSq3AJ5eI5OnqOPBNLWSHKh2a30DoXe8/edit?usp=sharing"",""ภูเก็ต!M482"")"),0)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IFERROR(__xludf.DUMMYFUNCTION("IMPORTRANGE(""https://docs.google.com/spreadsheets/d/1IYY_tgx_IHuhSq3AJ5eI5OnqOPBNLWSHKh2a30DoXe8/edit?usp=sharing"",""ภูเก็ต!M483"")"),0)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IFERROR(__xludf.DUMMYFUNCTION("IMPORTRANGE(""https://docs.google.com/spreadsheets/d/1IYY_tgx_IHuhSq3AJ5eI5OnqOPBNLWSHKh2a30DoXe8/edit?usp=sharing"",""ภูเก็ต!I484"")"),0)</f>
        <v>0</v>
      </c>
      <c r="J589" s="194">
        <f ca="1">IFERROR(__xludf.DUMMYFUNCTION("IMPORTRANGE(""https://docs.google.com/spreadsheets/d/1IYY_tgx_IHuhSq3AJ5eI5OnqOPBNLWSHKh2a30DoXe8/edit?usp=sharing"",""ภูเก็ต!J484"")"),0)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IFERROR(__xludf.DUMMYFUNCTION("IMPORTRANGE(""https://docs.google.com/spreadsheets/d/1IYY_tgx_IHuhSq3AJ5eI5OnqOPBNLWSHKh2a30DoXe8/edit?usp=sharing"",""ภูเก็ต!I485"")"),0)</f>
        <v>0</v>
      </c>
      <c r="J590" s="194">
        <f ca="1">IFERROR(__xludf.DUMMYFUNCTION("IMPORTRANGE(""https://docs.google.com/spreadsheets/d/1IYY_tgx_IHuhSq3AJ5eI5OnqOPBNLWSHKh2a30DoXe8/edit?usp=sharing"",""ภูเก็ต!J485"")"),0)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IFERROR(__xludf.DUMMYFUNCTION("IMPORTRANGE(""https://docs.google.com/spreadsheets/d/1IYY_tgx_IHuhSq3AJ5eI5OnqOPBNLWSHKh2a30DoXe8/edit?usp=sharing"",""ภูเก็ต!I486"")"),0)</f>
        <v>0</v>
      </c>
      <c r="J591" s="194">
        <f ca="1">IFERROR(__xludf.DUMMYFUNCTION("IMPORTRANGE(""https://docs.google.com/spreadsheets/d/1IYY_tgx_IHuhSq3AJ5eI5OnqOPBNLWSHKh2a30DoXe8/edit?usp=sharing"",""ภูเก็ต!J486"")"),0)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IFERROR(__xludf.DUMMYFUNCTION("IMPORTRANGE(""https://docs.google.com/spreadsheets/d/1IYY_tgx_IHuhSq3AJ5eI5OnqOPBNLWSHKh2a30DoXe8/edit?usp=sharing"",""ภูเก็ต!I487"")"),0)</f>
        <v>0</v>
      </c>
      <c r="J592" s="194">
        <f ca="1">IFERROR(__xludf.DUMMYFUNCTION("IMPORTRANGE(""https://docs.google.com/spreadsheets/d/1IYY_tgx_IHuhSq3AJ5eI5OnqOPBNLWSHKh2a30DoXe8/edit?usp=sharing"",""ภูเก็ต!J487"")"),0)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IFERROR(__xludf.DUMMYFUNCTION("IMPORTRANGE(""https://docs.google.com/spreadsheets/d/1IYY_tgx_IHuhSq3AJ5eI5OnqOPBNLWSHKh2a30DoXe8/edit?usp=sharing"",""ภูเก็ต!I488"")"),0)</f>
        <v>0</v>
      </c>
      <c r="J593" s="194">
        <f ca="1">IFERROR(__xludf.DUMMYFUNCTION("IMPORTRANGE(""https://docs.google.com/spreadsheets/d/1IYY_tgx_IHuhSq3AJ5eI5OnqOPBNLWSHKh2a30DoXe8/edit?usp=sharing"",""ภูเก็ต!J488"")"),0)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IFERROR(__xludf.DUMMYFUNCTION("IMPORTRANGE(""https://docs.google.com/spreadsheets/d/1IYY_tgx_IHuhSq3AJ5eI5OnqOPBNLWSHKh2a30DoXe8/edit?usp=sharing"",""ภูเก็ต!I489"")"),0)</f>
        <v>0</v>
      </c>
      <c r="J594" s="194">
        <f ca="1">IFERROR(__xludf.DUMMYFUNCTION("IMPORTRANGE(""https://docs.google.com/spreadsheets/d/1IYY_tgx_IHuhSq3AJ5eI5OnqOPBNLWSHKh2a30DoXe8/edit?usp=sharing"",""ภูเก็ต!J489"")"),0)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IFERROR(__xludf.DUMMYFUNCTION("IMPORTRANGE(""https://docs.google.com/spreadsheets/d/1IYY_tgx_IHuhSq3AJ5eI5OnqOPBNLWSHKh2a30DoXe8/edit?usp=sharing"",""ภูเก็ต!I490"")"),0)</f>
        <v>0</v>
      </c>
      <c r="J595" s="194">
        <f ca="1">IFERROR(__xludf.DUMMYFUNCTION("IMPORTRANGE(""https://docs.google.com/spreadsheets/d/1IYY_tgx_IHuhSq3AJ5eI5OnqOPBNLWSHKh2a30DoXe8/edit?usp=sharing"",""ภูเก็ต!J490"")"),0)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IFERROR(__xludf.DUMMYFUNCTION("IMPORTRANGE(""https://docs.google.com/spreadsheets/d/1IYY_tgx_IHuhSq3AJ5eI5OnqOPBNLWSHKh2a30DoXe8/edit?usp=sharing"",""ภูเก็ต!I491"")"),0)</f>
        <v>0</v>
      </c>
      <c r="J596" s="247">
        <f ca="1">IFERROR(__xludf.DUMMYFUNCTION("IMPORTRANGE(""https://docs.google.com/spreadsheets/d/1IYY_tgx_IHuhSq3AJ5eI5OnqOPBNLWSHKh2a30DoXe8/edit?usp=sharing"",""ภูเก็ต!J491"")"),0)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IFERROR(__xludf.DUMMYFUNCTION("IMPORTRANGE(""https://docs.google.com/spreadsheets/d/1IYY_tgx_IHuhSq3AJ5eI5OnqOPBNLWSHKh2a30DoXe8/edit?usp=sharing"",""ภูเก็ต!I492"")"),100)</f>
        <v>100</v>
      </c>
      <c r="J597" s="493">
        <f ca="1">IFERROR(__xludf.DUMMYFUNCTION("IMPORTRANGE(""https://docs.google.com/spreadsheets/d/1IYY_tgx_IHuhSq3AJ5eI5OnqOPBNLWSHKh2a30DoXe8/edit?usp=sharing"",""ภูเก็ต!J492"")"),0)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IFERROR(__xludf.DUMMYFUNCTION("IMPORTRANGE(""https://docs.google.com/spreadsheets/d/1IYY_tgx_IHuhSq3AJ5eI5OnqOPBNLWSHKh2a30DoXe8/edit?usp=sharing"",""ภูเก็ต!L492"")"),7300)</f>
        <v>7300</v>
      </c>
      <c r="M597" s="418"/>
      <c r="N597" s="418">
        <f ca="1">IFERROR(__xludf.DUMMYFUNCTION("IMPORTRANGE(""https://docs.google.com/spreadsheets/d/1IYY_tgx_IHuhSq3AJ5eI5OnqOPBNLWSHKh2a30DoXe8/edit?usp=sharing"",""ภูเก็ต!M492"")"),400)</f>
        <v>400</v>
      </c>
      <c r="O597" s="418">
        <f t="shared" ref="O597:O601" ca="1" si="126">+IF(L597&gt;0,N597*100/L597,0)</f>
        <v>5.4794520547945202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IFERROR(__xludf.DUMMYFUNCTION("IMPORTRANGE(""https://docs.google.com/spreadsheets/d/1IYY_tgx_IHuhSq3AJ5eI5OnqOPBNLWSHKh2a30DoXe8/edit?usp=sharing"",""ภูเก็ต!L493"")"),0)</f>
        <v>0</v>
      </c>
      <c r="M598" s="168"/>
      <c r="N598" s="175">
        <f ca="1">IFERROR(__xludf.DUMMYFUNCTION("IMPORTRANGE(""https://docs.google.com/spreadsheets/d/1IYY_tgx_IHuhSq3AJ5eI5OnqOPBNLWSHKh2a30DoXe8/edit?usp=sharing"",""ภูเก็ต!M493"")"),0)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IFERROR(__xludf.DUMMYFUNCTION("IMPORTRANGE(""https://docs.google.com/spreadsheets/d/1IYY_tgx_IHuhSq3AJ5eI5OnqOPBNLWSHKh2a30DoXe8/edit?usp=sharing"",""ภูเก็ต!L494"")"),7300)</f>
        <v>7300</v>
      </c>
      <c r="M599" s="169"/>
      <c r="N599" s="175">
        <f ca="1">IFERROR(__xludf.DUMMYFUNCTION("IMPORTRANGE(""https://docs.google.com/spreadsheets/d/1IYY_tgx_IHuhSq3AJ5eI5OnqOPBNLWSHKh2a30DoXe8/edit?usp=sharing"",""ภูเก็ต!M494"")"),400)</f>
        <v>400</v>
      </c>
      <c r="O599" s="175">
        <f t="shared" ca="1" si="126"/>
        <v>5.4794520547945202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IFERROR(__xludf.DUMMYFUNCTION("IMPORTRANGE(""https://docs.google.com/spreadsheets/d/1IYY_tgx_IHuhSq3AJ5eI5OnqOPBNLWSHKh2a30DoXe8/edit?usp=sharing"",""ภูเก็ต!L495"")"),0)</f>
        <v>0</v>
      </c>
      <c r="M600" s="175"/>
      <c r="N600" s="175">
        <f ca="1">IFERROR(__xludf.DUMMYFUNCTION("IMPORTRANGE(""https://docs.google.com/spreadsheets/d/1IYY_tgx_IHuhSq3AJ5eI5OnqOPBNLWSHKh2a30DoXe8/edit?usp=sharing"",""ภูเก็ต!M495"")"),0)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IFERROR(__xludf.DUMMYFUNCTION("IMPORTRANGE(""https://docs.google.com/spreadsheets/d/1IYY_tgx_IHuhSq3AJ5eI5OnqOPBNLWSHKh2a30DoXe8/edit?usp=sharing"",""ภูเก็ต!L496"")"),7300)</f>
        <v>7300</v>
      </c>
      <c r="M601" s="175"/>
      <c r="N601" s="175">
        <f ca="1">IFERROR(__xludf.DUMMYFUNCTION("IMPORTRANGE(""https://docs.google.com/spreadsheets/d/1IYY_tgx_IHuhSq3AJ5eI5OnqOPBNLWSHKh2a30DoXe8/edit?usp=sharing"",""ภูเก็ต!M496"")"),400)</f>
        <v>400</v>
      </c>
      <c r="O601" s="175">
        <f t="shared" ca="1" si="126"/>
        <v>5.4794520547945202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IFERROR(__xludf.DUMMYFUNCTION("IMPORTRANGE(""https://docs.google.com/spreadsheets/d/1IYY_tgx_IHuhSq3AJ5eI5OnqOPBNLWSHKh2a30DoXe8/edit?usp=sharing"",""ภูเก็ต!M497"")"),0)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IFERROR(__xludf.DUMMYFUNCTION("IMPORTRANGE(""https://docs.google.com/spreadsheets/d/1IYY_tgx_IHuhSq3AJ5eI5OnqOPBNLWSHKh2a30DoXe8/edit?usp=sharing"",""ภูเก็ต!M498"")"),0)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IFERROR(__xludf.DUMMYFUNCTION("IMPORTRANGE(""https://docs.google.com/spreadsheets/d/1IYY_tgx_IHuhSq3AJ5eI5OnqOPBNLWSHKh2a30DoXe8/edit?usp=sharing"",""ภูเก็ต!M499"")"),0)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IFERROR(__xludf.DUMMYFUNCTION("IMPORTRANGE(""https://docs.google.com/spreadsheets/d/1IYY_tgx_IHuhSq3AJ5eI5OnqOPBNLWSHKh2a30DoXe8/edit?usp=sharing"",""ภูเก็ต!M500"")"),400)</f>
        <v>400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IFERROR(__xludf.DUMMYFUNCTION("IMPORTRANGE(""https://docs.google.com/spreadsheets/d/1IYY_tgx_IHuhSq3AJ5eI5OnqOPBNLWSHKh2a30DoXe8/edit?usp=sharing"",""ภูเก็ต!J502"")"),0)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IFERROR(__xludf.DUMMYFUNCTION("IMPORTRANGE(""https://docs.google.com/spreadsheets/d/1IYY_tgx_IHuhSq3AJ5eI5OnqOPBNLWSHKh2a30DoXe8/edit?usp=sharing"",""ภูเก็ต!J503"")"),1)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IFERROR(__xludf.DUMMYFUNCTION("IMPORTRANGE(""https://docs.google.com/spreadsheets/d/1IYY_tgx_IHuhSq3AJ5eI5OnqOPBNLWSHKh2a30DoXe8/edit?usp=sharing"",""ภูเก็ต!J166"")"),0)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IFERROR(__xludf.DUMMYFUNCTION("IMPORTRANGE(""https://docs.google.com/spreadsheets/d/1IYY_tgx_IHuhSq3AJ5eI5OnqOPBNLWSHKh2a30DoXe8/edit?usp=sharing"",""ภูเก็ต!J166"")"),0)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IFERROR(__xludf.DUMMYFUNCTION("IMPORTRANGE(""https://docs.google.com/spreadsheets/d/1IYY_tgx_IHuhSq3AJ5eI5OnqOPBNLWSHKh2a30DoXe8/edit?usp=sharing"",""ภูเก็ต!I506"")"),100)</f>
        <v>100</v>
      </c>
      <c r="J611" s="166">
        <f ca="1">IFERROR(__xludf.DUMMYFUNCTION("IMPORTRANGE(""https://docs.google.com/spreadsheets/d/1IYY_tgx_IHuhSq3AJ5eI5OnqOPBNLWSHKh2a30DoXe8/edit?usp=sharing"",""ภูเก็ต!J506"")"),0)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IFERROR(__xludf.DUMMYFUNCTION("IMPORTRANGE(""https://docs.google.com/spreadsheets/d/1IYY_tgx_IHuhSq3AJ5eI5OnqOPBNLWSHKh2a30DoXe8/edit?usp=sharing"",""ภูเก็ต!I507"")"),0)</f>
        <v>0</v>
      </c>
      <c r="J612" s="204">
        <f ca="1">IFERROR(__xludf.DUMMYFUNCTION("IMPORTRANGE(""https://docs.google.com/spreadsheets/d/1IYY_tgx_IHuhSq3AJ5eI5OnqOPBNLWSHKh2a30DoXe8/edit?usp=sharing"",""ภูเก็ต!J507"")"),0)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IFERROR(__xludf.DUMMYFUNCTION("IMPORTRANGE(""https://docs.google.com/spreadsheets/d/1IYY_tgx_IHuhSq3AJ5eI5OnqOPBNLWSHKh2a30DoXe8/edit?usp=sharing"",""ภูเก็ต!I508"")"),0)</f>
        <v>0</v>
      </c>
      <c r="J613" s="204">
        <f ca="1">IFERROR(__xludf.DUMMYFUNCTION("IMPORTRANGE(""https://docs.google.com/spreadsheets/d/1IYY_tgx_IHuhSq3AJ5eI5OnqOPBNLWSHKh2a30DoXe8/edit?usp=sharing"",""ภูเก็ต!J508"")"),0)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IFERROR(__xludf.DUMMYFUNCTION("IMPORTRANGE(""https://docs.google.com/spreadsheets/d/1IYY_tgx_IHuhSq3AJ5eI5OnqOPBNLWSHKh2a30DoXe8/edit?usp=sharing"",""ภูเก็ต!I509"")"),0)</f>
        <v>0</v>
      </c>
      <c r="J614" s="204">
        <f ca="1">IFERROR(__xludf.DUMMYFUNCTION("IMPORTRANGE(""https://docs.google.com/spreadsheets/d/1IYY_tgx_IHuhSq3AJ5eI5OnqOPBNLWSHKh2a30DoXe8/edit?usp=sharing"",""ภูเก็ต!J509"")"),0)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IFERROR(__xludf.DUMMYFUNCTION("IMPORTRANGE(""https://docs.google.com/spreadsheets/d/1IYY_tgx_IHuhSq3AJ5eI5OnqOPBNLWSHKh2a30DoXe8/edit?usp=sharing"",""ภูเก็ต!I510"")"),0)</f>
        <v>0</v>
      </c>
      <c r="J615" s="204">
        <f ca="1">IFERROR(__xludf.DUMMYFUNCTION("IMPORTRANGE(""https://docs.google.com/spreadsheets/d/1IYY_tgx_IHuhSq3AJ5eI5OnqOPBNLWSHKh2a30DoXe8/edit?usp=sharing"",""ภูเก็ต!J510"")"),0)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IFERROR(__xludf.DUMMYFUNCTION("IMPORTRANGE(""https://docs.google.com/spreadsheets/d/1IYY_tgx_IHuhSq3AJ5eI5OnqOPBNLWSHKh2a30DoXe8/edit?usp=sharing"",""ภูเก็ต!I511"")"),0)</f>
        <v>0</v>
      </c>
      <c r="J616" s="204">
        <f ca="1">IFERROR(__xludf.DUMMYFUNCTION("IMPORTRANGE(""https://docs.google.com/spreadsheets/d/1IYY_tgx_IHuhSq3AJ5eI5OnqOPBNLWSHKh2a30DoXe8/edit?usp=sharing"",""ภูเก็ต!J511"")"),0)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IFERROR(__xludf.DUMMYFUNCTION("IMPORTRANGE(""https://docs.google.com/spreadsheets/d/1IYY_tgx_IHuhSq3AJ5eI5OnqOPBNLWSHKh2a30DoXe8/edit?usp=sharing"",""ภูเก็ต!I512"")"),0)</f>
        <v>0</v>
      </c>
      <c r="J617" s="194">
        <f ca="1">IFERROR(__xludf.DUMMYFUNCTION("IMPORTRANGE(""https://docs.google.com/spreadsheets/d/1IYY_tgx_IHuhSq3AJ5eI5OnqOPBNLWSHKh2a30DoXe8/edit?usp=sharing"",""ภูเก็ต!J512"")"),0)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IFERROR(__xludf.DUMMYFUNCTION("IMPORTRANGE(""https://docs.google.com/spreadsheets/d/1IYY_tgx_IHuhSq3AJ5eI5OnqOPBNLWSHKh2a30DoXe8/edit?usp=sharing"",""ภูเก็ต!I513"")"),0)</f>
        <v>0</v>
      </c>
      <c r="J618" s="195">
        <f ca="1">IFERROR(__xludf.DUMMYFUNCTION("IMPORTRANGE(""https://docs.google.com/spreadsheets/d/1IYY_tgx_IHuhSq3AJ5eI5OnqOPBNLWSHKh2a30DoXe8/edit?usp=sharing"",""ภูเก็ต!J513"")"),0)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IFERROR(__xludf.DUMMYFUNCTION("IMPORTRANGE(""https://docs.google.com/spreadsheets/d/1IYY_tgx_IHuhSq3AJ5eI5OnqOPBNLWSHKh2a30DoXe8/edit?usp=sharing"",""ภูเก็ต!I514"")"),0)</f>
        <v>0</v>
      </c>
      <c r="J619" s="195">
        <f ca="1">IFERROR(__xludf.DUMMYFUNCTION("IMPORTRANGE(""https://docs.google.com/spreadsheets/d/1IYY_tgx_IHuhSq3AJ5eI5OnqOPBNLWSHKh2a30DoXe8/edit?usp=sharing"",""ภูเก็ต!J514"")"),0)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IFERROR(__xludf.DUMMYFUNCTION("IMPORTRANGE(""https://docs.google.com/spreadsheets/d/1IYY_tgx_IHuhSq3AJ5eI5OnqOPBNLWSHKh2a30DoXe8/edit?usp=sharing"",""ภูเก็ต!I515"")"),0)</f>
        <v>0</v>
      </c>
      <c r="J620" s="209">
        <f ca="1">IFERROR(__xludf.DUMMYFUNCTION("IMPORTRANGE(""https://docs.google.com/spreadsheets/d/1IYY_tgx_IHuhSq3AJ5eI5OnqOPBNLWSHKh2a30DoXe8/edit?usp=sharing"",""ภูเก็ต!J515"")"),0)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IFERROR(__xludf.DUMMYFUNCTION("IMPORTRANGE(""https://docs.google.com/spreadsheets/d/1IYY_tgx_IHuhSq3AJ5eI5OnqOPBNLWSHKh2a30DoXe8/edit?usp=sharing"",""ภูเก็ต!I516"")"),0)</f>
        <v>0</v>
      </c>
      <c r="J621" s="209">
        <f ca="1">IFERROR(__xludf.DUMMYFUNCTION("IMPORTRANGE(""https://docs.google.com/spreadsheets/d/1IYY_tgx_IHuhSq3AJ5eI5OnqOPBNLWSHKh2a30DoXe8/edit?usp=sharing"",""ภูเก็ต!J516"")"),0)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IFERROR(__xludf.DUMMYFUNCTION("IMPORTRANGE(""https://docs.google.com/spreadsheets/d/1IYY_tgx_IHuhSq3AJ5eI5OnqOPBNLWSHKh2a30DoXe8/edit?usp=sharing"",""ภูเก็ต!I517"")"),0)</f>
        <v>0</v>
      </c>
      <c r="J622" s="195">
        <f ca="1">IFERROR(__xludf.DUMMYFUNCTION("IMPORTRANGE(""https://docs.google.com/spreadsheets/d/1IYY_tgx_IHuhSq3AJ5eI5OnqOPBNLWSHKh2a30DoXe8/edit?usp=sharing"",""ภูเก็ต!J517"")"),0)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IFERROR(__xludf.DUMMYFUNCTION("IMPORTRANGE(""https://docs.google.com/spreadsheets/d/1IYY_tgx_IHuhSq3AJ5eI5OnqOPBNLWSHKh2a30DoXe8/edit?usp=sharing"",""ภูเก็ต!I518"")"),0)</f>
        <v>0</v>
      </c>
      <c r="J623" s="195">
        <f ca="1">IFERROR(__xludf.DUMMYFUNCTION("IMPORTRANGE(""https://docs.google.com/spreadsheets/d/1IYY_tgx_IHuhSq3AJ5eI5OnqOPBNLWSHKh2a30DoXe8/edit?usp=sharing"",""ภูเก็ต!J518"")"),0)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IFERROR(__xludf.DUMMYFUNCTION("IMPORTRANGE(""https://docs.google.com/spreadsheets/d/1IYY_tgx_IHuhSq3AJ5eI5OnqOPBNLWSHKh2a30DoXe8/edit?usp=sharing"",""ภูเก็ต!I519"")"),0)</f>
        <v>0</v>
      </c>
      <c r="J624" s="194">
        <f ca="1">IFERROR(__xludf.DUMMYFUNCTION("IMPORTRANGE(""https://docs.google.com/spreadsheets/d/1IYY_tgx_IHuhSq3AJ5eI5OnqOPBNLWSHKh2a30DoXe8/edit?usp=sharing"",""ภูเก็ต!J519"")"),0)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IFERROR(__xludf.DUMMYFUNCTION("IMPORTRANGE(""https://docs.google.com/spreadsheets/d/1IYY_tgx_IHuhSq3AJ5eI5OnqOPBNLWSHKh2a30DoXe8/edit?usp=sharing"",""ภูเก็ต!I520"")"),0)</f>
        <v>0</v>
      </c>
      <c r="J625" s="195">
        <f ca="1">IFERROR(__xludf.DUMMYFUNCTION("IMPORTRANGE(""https://docs.google.com/spreadsheets/d/1IYY_tgx_IHuhSq3AJ5eI5OnqOPBNLWSHKh2a30DoXe8/edit?usp=sharing"",""ภูเก็ต!J520"")"),0)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IFERROR(__xludf.DUMMYFUNCTION("IMPORTRANGE(""https://docs.google.com/spreadsheets/d/1IYY_tgx_IHuhSq3AJ5eI5OnqOPBNLWSHKh2a30DoXe8/edit?usp=sharing"",""ภูเก็ต!I521"")"),0)</f>
        <v>0</v>
      </c>
      <c r="J626" s="195">
        <f ca="1">IFERROR(__xludf.DUMMYFUNCTION("IMPORTRANGE(""https://docs.google.com/spreadsheets/d/1IYY_tgx_IHuhSq3AJ5eI5OnqOPBNLWSHKh2a30DoXe8/edit?usp=sharing"",""ภูเก็ต!J521"")"),0)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IFERROR(__xludf.DUMMYFUNCTION("IMPORTRANGE(""https://docs.google.com/spreadsheets/d/1IYY_tgx_IHuhSq3AJ5eI5OnqOPBNLWSHKh2a30DoXe8/edit?usp=sharing"",""ภูเก็ต!I523"")"),661971.47)</f>
        <v>661971.47</v>
      </c>
      <c r="J628" s="347">
        <f ca="1">IFERROR(__xludf.DUMMYFUNCTION("IMPORTRANGE(""https://docs.google.com/spreadsheets/d/1IYY_tgx_IHuhSq3AJ5eI5OnqOPBNLWSHKh2a30DoXe8/edit?usp=sharing"",""ภูเก็ต!J523"")"),167634.1)</f>
        <v>167634.1</v>
      </c>
      <c r="K628" s="348">
        <f t="shared" ref="K628:K635" ca="1" si="129">IF(I628&gt;0,J628*100/I628,0)</f>
        <v>25.323462958305441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IFERROR(__xludf.DUMMYFUNCTION("IMPORTRANGE(""https://docs.google.com/spreadsheets/d/1IYY_tgx_IHuhSq3AJ5eI5OnqOPBNLWSHKh2a30DoXe8/edit?usp=sharing"",""ภูเก็ต!I524"")"),36)</f>
        <v>36</v>
      </c>
      <c r="J629" s="347">
        <f ca="1">IFERROR(__xludf.DUMMYFUNCTION("IMPORTRANGE(""https://docs.google.com/spreadsheets/d/1IYY_tgx_IHuhSq3AJ5eI5OnqOPBNLWSHKh2a30DoXe8/edit?usp=sharing"",""ภูเก็ต!J524"")"),10)</f>
        <v>10</v>
      </c>
      <c r="K629" s="348">
        <f t="shared" ca="1" si="129"/>
        <v>27.777777777777779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IFERROR(__xludf.DUMMYFUNCTION("IMPORTRANGE(""https://docs.google.com/spreadsheets/d/1IYY_tgx_IHuhSq3AJ5eI5OnqOPBNLWSHKh2a30DoXe8/edit?usp=sharing"",""ภูเก็ต!I525"")"),0)</f>
        <v>0</v>
      </c>
      <c r="J630" s="347">
        <f ca="1">IFERROR(__xludf.DUMMYFUNCTION("IMPORTRANGE(""https://docs.google.com/spreadsheets/d/1IYY_tgx_IHuhSq3AJ5eI5OnqOPBNLWSHKh2a30DoXe8/edit?usp=sharing"",""ภูเก็ต!J525"")"),0)</f>
        <v>0</v>
      </c>
      <c r="K630" s="348">
        <f t="shared" ca="1" si="129"/>
        <v>0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IFERROR(__xludf.DUMMYFUNCTION("IMPORTRANGE(""https://docs.google.com/spreadsheets/d/1IYY_tgx_IHuhSq3AJ5eI5OnqOPBNLWSHKh2a30DoXe8/edit?usp=sharing"",""ภูเก็ต!I526"")"),0)</f>
        <v>0</v>
      </c>
      <c r="J631" s="347">
        <f ca="1">IFERROR(__xludf.DUMMYFUNCTION("IMPORTRANGE(""https://docs.google.com/spreadsheets/d/1IYY_tgx_IHuhSq3AJ5eI5OnqOPBNLWSHKh2a30DoXe8/edit?usp=sharing"",""ภูเก็ต!J526"")"),0)</f>
        <v>0</v>
      </c>
      <c r="K631" s="348">
        <f t="shared" ca="1" si="129"/>
        <v>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IFERROR(__xludf.DUMMYFUNCTION("IMPORTRANGE(""https://docs.google.com/spreadsheets/d/1IYY_tgx_IHuhSq3AJ5eI5OnqOPBNLWSHKh2a30DoXe8/edit?usp=sharing"",""ภูเก็ต!I527"")"),0)</f>
        <v>0</v>
      </c>
      <c r="J632" s="347">
        <f ca="1">IFERROR(__xludf.DUMMYFUNCTION("IMPORTRANGE(""https://docs.google.com/spreadsheets/d/1IYY_tgx_IHuhSq3AJ5eI5OnqOPBNLWSHKh2a30DoXe8/edit?usp=sharing"",""ภูเก็ต!J527"")"),0)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IFERROR(__xludf.DUMMYFUNCTION("IMPORTRANGE(""https://docs.google.com/spreadsheets/d/1IYY_tgx_IHuhSq3AJ5eI5OnqOPBNLWSHKh2a30DoXe8/edit?usp=sharing"",""ภูเก็ต!I528"")"),0)</f>
        <v>0</v>
      </c>
      <c r="J633" s="347">
        <f ca="1">IFERROR(__xludf.DUMMYFUNCTION("IMPORTRANGE(""https://docs.google.com/spreadsheets/d/1IYY_tgx_IHuhSq3AJ5eI5OnqOPBNLWSHKh2a30DoXe8/edit?usp=sharing"",""ภูเก็ต!J528"")"),0)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IFERROR(__xludf.DUMMYFUNCTION("IMPORTRANGE(""https://docs.google.com/spreadsheets/d/1IYY_tgx_IHuhSq3AJ5eI5OnqOPBNLWSHKh2a30DoXe8/edit?usp=sharing"",""ภูเก็ต!I529"")"),350000)</f>
        <v>350000</v>
      </c>
      <c r="J634" s="347">
        <f ca="1">IFERROR(__xludf.DUMMYFUNCTION("IMPORTRANGE(""https://docs.google.com/spreadsheets/d/1IYY_tgx_IHuhSq3AJ5eI5OnqOPBNLWSHKh2a30DoXe8/edit?usp=sharing"",""ภูเก็ต!J529"")"),0)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IFERROR(__xludf.DUMMYFUNCTION("IMPORTRANGE(""https://docs.google.com/spreadsheets/d/1IYY_tgx_IHuhSq3AJ5eI5OnqOPBNLWSHKh2a30DoXe8/edit?usp=sharing"",""ภูเก็ต!I530"")"),7)</f>
        <v>7</v>
      </c>
      <c r="J635" s="517">
        <f ca="1">IFERROR(__xludf.DUMMYFUNCTION("IMPORTRANGE(""https://docs.google.com/spreadsheets/d/1IYY_tgx_IHuhSq3AJ5eI5OnqOPBNLWSHKh2a30DoXe8/edit?usp=sharing"",""ภูเก็ต!J530"")"),0)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8">
    <mergeCell ref="D278:E278"/>
    <mergeCell ref="A1:P1"/>
    <mergeCell ref="A2:P2"/>
    <mergeCell ref="A3:P3"/>
    <mergeCell ref="D250:G250"/>
    <mergeCell ref="D253:F253"/>
    <mergeCell ref="D257:E257"/>
    <mergeCell ref="D271:G271"/>
    <mergeCell ref="D274:F274"/>
    <mergeCell ref="D143:F143"/>
    <mergeCell ref="D147:E147"/>
    <mergeCell ref="D220:G220"/>
    <mergeCell ref="D223:F223"/>
    <mergeCell ref="D227:E227"/>
    <mergeCell ref="D101:E101"/>
    <mergeCell ref="D118:G118"/>
    <mergeCell ref="D121:F121"/>
    <mergeCell ref="D125:E125"/>
    <mergeCell ref="D140:G140"/>
    <mergeCell ref="D60:E60"/>
    <mergeCell ref="D66:G66"/>
    <mergeCell ref="D69:F69"/>
    <mergeCell ref="D73:E73"/>
    <mergeCell ref="D94:G94"/>
    <mergeCell ref="D44:F44"/>
    <mergeCell ref="D48:E48"/>
    <mergeCell ref="B52:G52"/>
    <mergeCell ref="D53:G53"/>
    <mergeCell ref="D56:F56"/>
    <mergeCell ref="D31:F31"/>
    <mergeCell ref="D35:E35"/>
    <mergeCell ref="A38:G38"/>
    <mergeCell ref="B39:G39"/>
    <mergeCell ref="D41:G41"/>
    <mergeCell ref="D18:G18"/>
    <mergeCell ref="D21:F21"/>
    <mergeCell ref="D25:E25"/>
    <mergeCell ref="A27:G27"/>
    <mergeCell ref="D28:G28"/>
    <mergeCell ref="A7:G7"/>
    <mergeCell ref="D8:G8"/>
    <mergeCell ref="D11:F11"/>
    <mergeCell ref="D15:E15"/>
    <mergeCell ref="A17:G17"/>
    <mergeCell ref="H5:H6"/>
    <mergeCell ref="I5:K5"/>
    <mergeCell ref="L5:M5"/>
    <mergeCell ref="N5:P5"/>
    <mergeCell ref="A5:G6"/>
    <mergeCell ref="D332:F332"/>
    <mergeCell ref="D336:E336"/>
    <mergeCell ref="D290:G290"/>
    <mergeCell ref="D293:F293"/>
    <mergeCell ref="D297:E297"/>
    <mergeCell ref="D310:G310"/>
    <mergeCell ref="D313:F313"/>
    <mergeCell ref="D317:E317"/>
    <mergeCell ref="D329:G329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M6" sqref="M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258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2483241.9</v>
      </c>
      <c r="M8" s="23">
        <f t="shared" ca="1" si="0"/>
        <v>1512226</v>
      </c>
      <c r="N8" s="23">
        <f t="shared" ca="1" si="0"/>
        <v>1555153.29</v>
      </c>
      <c r="O8" s="22">
        <f t="shared" ref="O8:O16" ca="1" si="1">IF(L8&gt;0,N8*100/L8,0)</f>
        <v>62.625928227129222</v>
      </c>
      <c r="P8" s="22">
        <f t="shared" ref="P8:P16" ca="1" si="2">IF(M8&gt;0,N8*100/M8,0)</f>
        <v>102.83868218110256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2483241.9</v>
      </c>
      <c r="M10" s="30">
        <f t="shared" ca="1" si="4"/>
        <v>1512226</v>
      </c>
      <c r="N10" s="30">
        <f t="shared" ca="1" si="4"/>
        <v>1555153.29</v>
      </c>
      <c r="O10" s="29">
        <f t="shared" ca="1" si="1"/>
        <v>62.625928227129222</v>
      </c>
      <c r="P10" s="29">
        <f t="shared" ca="1" si="2"/>
        <v>102.83868218110256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2288241.9</v>
      </c>
      <c r="M12" s="38">
        <f t="shared" ca="1" si="6"/>
        <v>1317226</v>
      </c>
      <c r="N12" s="38">
        <f t="shared" ca="1" si="6"/>
        <v>1360153.29</v>
      </c>
      <c r="O12" s="38">
        <f t="shared" ca="1" si="1"/>
        <v>59.440974750090888</v>
      </c>
      <c r="P12" s="38">
        <f t="shared" ca="1" si="2"/>
        <v>103.25891608577419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1360100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928141.9</v>
      </c>
      <c r="M14" s="38">
        <f t="shared" si="8"/>
        <v>0</v>
      </c>
      <c r="N14" s="38">
        <f t="shared" ca="1" si="8"/>
        <v>387323.81</v>
      </c>
      <c r="O14" s="41">
        <f t="shared" ca="1" si="1"/>
        <v>41.731098445183868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195000</v>
      </c>
      <c r="M16" s="38">
        <f t="shared" ca="1" si="10"/>
        <v>195000</v>
      </c>
      <c r="N16" s="38">
        <f t="shared" ca="1" si="10"/>
        <v>195000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1872575</v>
      </c>
      <c r="M18" s="23">
        <f t="shared" ca="1" si="11"/>
        <v>1512226</v>
      </c>
      <c r="N18" s="23">
        <f t="shared" ca="1" si="11"/>
        <v>1167829.48</v>
      </c>
      <c r="O18" s="22">
        <f t="shared" ref="O18:O20" ca="1" si="12">IF(L18&gt;0,N18*100/L18,0)</f>
        <v>62.364897534144163</v>
      </c>
      <c r="P18" s="22">
        <f t="shared" ref="P18:P26" ca="1" si="13">IF(M18&gt;0,N18*100/M18,0)</f>
        <v>77.225856452673085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1872575</v>
      </c>
      <c r="M20" s="30">
        <f t="shared" ca="1" si="15"/>
        <v>1512226</v>
      </c>
      <c r="N20" s="30">
        <f t="shared" ca="1" si="15"/>
        <v>1167829.48</v>
      </c>
      <c r="O20" s="29">
        <f t="shared" ca="1" si="12"/>
        <v>62.364897534144163</v>
      </c>
      <c r="P20" s="29">
        <f t="shared" ca="1" si="13"/>
        <v>77.225856452673085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1677575</v>
      </c>
      <c r="M22" s="42">
        <f t="shared" ca="1" si="18"/>
        <v>1317226</v>
      </c>
      <c r="N22" s="41">
        <f t="shared" ca="1" si="18"/>
        <v>972829.48</v>
      </c>
      <c r="O22" s="41">
        <f t="shared" ca="1" si="17"/>
        <v>57.990222791827492</v>
      </c>
      <c r="P22" s="41">
        <f t="shared" ca="1" si="13"/>
        <v>73.854409190222484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1360100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317475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195000</v>
      </c>
      <c r="M26" s="50">
        <f t="shared" ca="1" si="22"/>
        <v>195000</v>
      </c>
      <c r="N26" s="50">
        <f t="shared" ca="1" si="22"/>
        <v>195000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610666.9</v>
      </c>
      <c r="M28" s="23">
        <f t="shared" si="23"/>
        <v>0</v>
      </c>
      <c r="N28" s="23">
        <f t="shared" ca="1" si="23"/>
        <v>387323.81</v>
      </c>
      <c r="O28" s="22">
        <f t="shared" ref="O28:O30" ca="1" si="24">IF(L28&gt;0,N28*100/L28,0)</f>
        <v>63.426363865472318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610666.9</v>
      </c>
      <c r="M30" s="30">
        <f t="shared" si="27"/>
        <v>0</v>
      </c>
      <c r="N30" s="30">
        <f t="shared" ca="1" si="27"/>
        <v>387323.81</v>
      </c>
      <c r="O30" s="29">
        <f t="shared" ca="1" si="24"/>
        <v>63.426363865472318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610666.9</v>
      </c>
      <c r="M32" s="41">
        <f t="shared" si="30"/>
        <v>0</v>
      </c>
      <c r="N32" s="41">
        <f t="shared" ca="1" si="30"/>
        <v>387323.81</v>
      </c>
      <c r="O32" s="41">
        <f t="shared" ca="1" si="29"/>
        <v>63.426363865472318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610666.9</v>
      </c>
      <c r="M34" s="41">
        <f t="shared" si="32"/>
        <v>0</v>
      </c>
      <c r="N34" s="41">
        <f t="shared" ca="1" si="32"/>
        <v>387323.81</v>
      </c>
      <c r="O34" s="41">
        <f t="shared" ca="1" si="29"/>
        <v>63.426363865472318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1872575</v>
      </c>
      <c r="M37" s="55">
        <f t="shared" ca="1" si="33"/>
        <v>1512226</v>
      </c>
      <c r="N37" s="55">
        <f t="shared" ca="1" si="33"/>
        <v>1167829.48</v>
      </c>
      <c r="O37" s="56">
        <f t="shared" ca="1" si="29"/>
        <v>62.364897534144163</v>
      </c>
      <c r="P37" s="56">
        <f t="shared" ca="1" si="25"/>
        <v>77.225856452673085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615100</v>
      </c>
      <c r="M41" s="79">
        <f t="shared" ca="1" si="34"/>
        <v>473300</v>
      </c>
      <c r="N41" s="79">
        <f t="shared" ca="1" si="34"/>
        <v>431796.89</v>
      </c>
      <c r="O41" s="78">
        <f t="shared" ref="O41:O43" ca="1" si="35">IF(L41&gt;0,N41*100/L41,0)</f>
        <v>70.199461876117709</v>
      </c>
      <c r="P41" s="78">
        <f t="shared" ref="P41:P43" ca="1" si="36">IF(M41&gt;0,N41*100/M41,0)</f>
        <v>91.231119797168816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615100</v>
      </c>
      <c r="M43" s="79">
        <f t="shared" ca="1" si="38"/>
        <v>473300</v>
      </c>
      <c r="N43" s="79">
        <f t="shared" ca="1" si="38"/>
        <v>431796.89</v>
      </c>
      <c r="O43" s="78">
        <f t="shared" ca="1" si="35"/>
        <v>70.199461876117709</v>
      </c>
      <c r="P43" s="78">
        <f t="shared" ca="1" si="36"/>
        <v>91.231119797168816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567100</v>
      </c>
      <c r="M45" s="91">
        <f ca="1">IFERROR(__xludf.DUMMYFUNCTION("IMPORTRANGE(""https://docs.google.com/spreadsheets/d/1Yj_ptqi66GCucihVvJfMjLAmec39IyEx_6qawtMGysU/edit?usp=sharing"",""สบก!Q90"")"),425300)</f>
        <v>425300</v>
      </c>
      <c r="N45" s="91">
        <f ca="1">IFERROR(__xludf.DUMMYFUNCTION("IMPORTRANGE(""https://docs.google.com/spreadsheets/d/1Yj_ptqi66GCucihVvJfMjLAmec39IyEx_6qawtMGysU/edit?usp=sharing"",""สบก!R90"")"),383796.89)</f>
        <v>383796.89</v>
      </c>
      <c r="O45" s="92">
        <f ca="1">IF(L45&gt;0,N45*100/L45,0)</f>
        <v>67.677109857168048</v>
      </c>
      <c r="P45" s="92">
        <f ca="1">IF(M45&gt;0,N45*100/M45,0)</f>
        <v>90.241450740653661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IFERROR(__xludf.DUMMYFUNCTION("IMPORTRANGE(""https://docs.google.com/spreadsheets/d/1Yj_ptqi66GCucihVvJfMjLAmec39IyEx_6qawtMGysU/edit?usp=sharing"",""สบก!M90"")"),567100)</f>
        <v>567100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IFERROR(__xludf.DUMMYFUNCTION("IMPORTRANGE(""https://docs.google.com/spreadsheets/d/1Yj_ptqi66GCucihVvJfMjLAmec39IyEx_6qawtMGysU/edit?usp=sharing"",""สบก!N90"")"),0)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IFERROR(__xludf.DUMMYFUNCTION("IMPORTRANGE(""https://docs.google.com/spreadsheets/d/1Yj_ptqi66GCucihVvJfMjLAmec39IyEx_6qawtMGysU/edit?usp=sharing"",""สบก!O90"")"),48000)</f>
        <v>48000</v>
      </c>
      <c r="M49" s="101">
        <f ca="1">L49</f>
        <v>48000</v>
      </c>
      <c r="N49" s="91">
        <f ca="1">IFERROR(__xludf.DUMMYFUNCTION("IMPORTRANGE(""https://docs.google.com/spreadsheets/d/1Yj_ptqi66GCucihVvJfMjLAmec39IyEx_6qawtMGysU/edit?usp=sharing"",""สบก!S90"")"),48000)</f>
        <v>48000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169000</v>
      </c>
      <c r="M53" s="125">
        <f t="shared" ca="1" si="39"/>
        <v>186086</v>
      </c>
      <c r="N53" s="125">
        <f t="shared" ca="1" si="39"/>
        <v>136440.28</v>
      </c>
      <c r="O53" s="124">
        <f t="shared" ref="O53:O55" ca="1" si="40">IF(L53&gt;0,N53*100/L53,0)</f>
        <v>80.733893491124263</v>
      </c>
      <c r="P53" s="124">
        <f t="shared" ref="P53:P55" ca="1" si="41">IF(M53&gt;0,N53*100/M53,0)</f>
        <v>73.321088099050982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169000</v>
      </c>
      <c r="M55" s="125">
        <f t="shared" ca="1" si="43"/>
        <v>186086</v>
      </c>
      <c r="N55" s="125">
        <f t="shared" ca="1" si="43"/>
        <v>136440.28</v>
      </c>
      <c r="O55" s="124">
        <f t="shared" ca="1" si="40"/>
        <v>80.733893491124263</v>
      </c>
      <c r="P55" s="124">
        <f t="shared" ca="1" si="41"/>
        <v>73.321088099050982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169000</v>
      </c>
      <c r="M57" s="91">
        <f ca="1">IFERROR(__xludf.DUMMYFUNCTION("IMPORTRANGE(""https://docs.google.com/spreadsheets/d/1Yj_ptqi66GCucihVvJfMjLAmec39IyEx_6qawtMGysU/edit?usp=sharing"",""สบก!Z90"")"),186086)</f>
        <v>186086</v>
      </c>
      <c r="N57" s="91">
        <f ca="1">IFERROR(__xludf.DUMMYFUNCTION("IMPORTRANGE(""https://docs.google.com/spreadsheets/d/1Yj_ptqi66GCucihVvJfMjLAmec39IyEx_6qawtMGysU/edit?usp=sharing"",""สบก!AA90"")"),136440.28)</f>
        <v>136440.28</v>
      </c>
      <c r="O57" s="92">
        <f ca="1">IF(L57&gt;0,N57*100/L57,0)</f>
        <v>80.733893491124263</v>
      </c>
      <c r="P57" s="92">
        <f ca="1">IF(M57&gt;0,N57*100/M57,0)</f>
        <v>73.321088099050982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IFERROR(__xludf.DUMMYFUNCTION("IMPORTRANGE(""https://docs.google.com/spreadsheets/d/1Yj_ptqi66GCucihVvJfMjLAmec39IyEx_6qawtMGysU/edit?usp=sharing"",""สบก!V90"")"),169000)</f>
        <v>169000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IFERROR(__xludf.DUMMYFUNCTION("IMPORTRANGE(""https://docs.google.com/spreadsheets/d/1Yj_ptqi66GCucihVvJfMjLAmec39IyEx_6qawtMGysU/edit?usp=sharing"",""สบก!W90"")"),0)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IFERROR(__xludf.DUMMYFUNCTION("IMPORTRANGE(""https://docs.google.com/spreadsheets/d/1Yj_ptqi66GCucihVvJfMjLAmec39IyEx_6qawtMGysU/edit?usp=sharing"",""สบก!X90"")"),0)</f>
        <v>0</v>
      </c>
      <c r="M61" s="101"/>
      <c r="N61" s="91">
        <f ca="1">IFERROR(__xludf.DUMMYFUNCTION("IMPORTRANGE(""https://docs.google.com/spreadsheets/d/1Yj_ptqi66GCucihVvJfMjLAmec39IyEx_6qawtMGysU/edit?usp=sharing"",""สบก!AB90"")"),0)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IFERROR(__xludf.DUMMYFUNCTION("IMPORTRANGE(""https://docs.google.com/spreadsheets/d/1IYY_tgx_IHuhSq3AJ5eI5OnqOPBNLWSHKh2a30DoXe8/edit?usp=sharing"",""ยะลา!I9"")"),0)</f>
        <v>0</v>
      </c>
      <c r="J64" s="146">
        <f ca="1">IFERROR(__xludf.DUMMYFUNCTION("IMPORTRANGE(""https://docs.google.com/spreadsheets/d/1IYY_tgx_IHuhSq3AJ5eI5OnqOPBNLWSHKh2a30DoXe8/edit?usp=sharing"",""ยะลา!J9"")"),0)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IFERROR(__xludf.DUMMYFUNCTION("IMPORTRANGE(""https://docs.google.com/spreadsheets/d/1IYY_tgx_IHuhSq3AJ5eI5OnqOPBNLWSHKh2a30DoXe8/edit?usp=sharing"",""ยะลา!I10"")"),0)</f>
        <v>0</v>
      </c>
      <c r="J65" s="146">
        <f ca="1">IFERROR(__xludf.DUMMYFUNCTION("IMPORTRANGE(""https://docs.google.com/spreadsheets/d/1IYY_tgx_IHuhSq3AJ5eI5OnqOPBNLWSHKh2a30DoXe8/edit?usp=sharing"",""ยะลา!J10"")"),0)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IFERROR(__xludf.DUMMYFUNCTION("IMPORTRANGE(""https://docs.google.com/spreadsheets/d/1Yj_ptqi66GCucihVvJfMjLAmec39IyEx_6qawtMGysU/edit?usp=sharing"",""สบก!AI90"")"),0)</f>
        <v>0</v>
      </c>
      <c r="N70" s="174">
        <f ca="1">IFERROR(__xludf.DUMMYFUNCTION("IMPORTRANGE(""https://docs.google.com/spreadsheets/d/1Yj_ptqi66GCucihVvJfMjLAmec39IyEx_6qawtMGysU/edit?usp=sharing"",""สบก!AJ90"")"),0)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IFERROR(__xludf.DUMMYFUNCTION("IMPORTRANGE(""https://docs.google.com/spreadsheets/d/1Yj_ptqi66GCucihVvJfMjLAmec39IyEx_6qawtMGysU/edit?usp=sharing"",""สบก!AE90"")"),0)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IFERROR(__xludf.DUMMYFUNCTION("IMPORTRANGE(""https://docs.google.com/spreadsheets/d/1Yj_ptqi66GCucihVvJfMjLAmec39IyEx_6qawtMGysU/edit?usp=sharing"",""สบก!AF90"")"),0)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IFERROR(__xludf.DUMMYFUNCTION("IMPORTRANGE(""https://docs.google.com/spreadsheets/d/1Yj_ptqi66GCucihVvJfMjLAmec39IyEx_6qawtMGysU/edit?usp=sharing"",""สบก!AG90"")"),0)</f>
        <v>0</v>
      </c>
      <c r="M74" s="101"/>
      <c r="N74" s="91">
        <f ca="1">IFERROR(__xludf.DUMMYFUNCTION("IMPORTRANGE(""https://docs.google.com/spreadsheets/d/1Yj_ptqi66GCucihVvJfMjLAmec39IyEx_6qawtMGysU/edit?usp=sharing"",""สบก!AK90"")"),0)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IFERROR(__xludf.DUMMYFUNCTION("IMPORTRANGE(""https://docs.google.com/spreadsheets/d/1IYY_tgx_IHuhSq3AJ5eI5OnqOPBNLWSHKh2a30DoXe8/edit?usp=sharing"",""ยะลา!J16"")"),0)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IFERROR(__xludf.DUMMYFUNCTION("IMPORTRANGE(""https://docs.google.com/spreadsheets/d/1IYY_tgx_IHuhSq3AJ5eI5OnqOPBNLWSHKh2a30DoXe8/edit?usp=sharing"",""ยะลา!J17"")"),0)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IFERROR(__xludf.DUMMYFUNCTION("IMPORTRANGE(""https://docs.google.com/spreadsheets/d/1IYY_tgx_IHuhSq3AJ5eI5OnqOPBNLWSHKh2a30DoXe8/edit?usp=sharing"",""ยะลา!J18"")"),0)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IFERROR(__xludf.DUMMYFUNCTION("IMPORTRANGE(""https://docs.google.com/spreadsheets/d/1IYY_tgx_IHuhSq3AJ5eI5OnqOPBNLWSHKh2a30DoXe8/edit?usp=sharing"",""ยะลา!J19"")"),0)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IFERROR(__xludf.DUMMYFUNCTION("IMPORTRANGE(""https://docs.google.com/spreadsheets/d/1IYY_tgx_IHuhSq3AJ5eI5OnqOPBNLWSHKh2a30DoXe8/edit?usp=sharing"",""ยะลา!I20"")"),0)</f>
        <v>0</v>
      </c>
      <c r="J80" s="207">
        <f ca="1">IFERROR(__xludf.DUMMYFUNCTION("IMPORTRANGE(""https://docs.google.com/spreadsheets/d/1IYY_tgx_IHuhSq3AJ5eI5OnqOPBNLWSHKh2a30DoXe8/edit?usp=sharing"",""ยะลา!J20"")"),0)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IFERROR(__xludf.DUMMYFUNCTION("IMPORTRANGE(""https://docs.google.com/spreadsheets/d/1IYY_tgx_IHuhSq3AJ5eI5OnqOPBNLWSHKh2a30DoXe8/edit?usp=sharing"",""ยะลา!I21"")"),0)</f>
        <v>0</v>
      </c>
      <c r="J81" s="207">
        <f ca="1">IFERROR(__xludf.DUMMYFUNCTION("IMPORTRANGE(""https://docs.google.com/spreadsheets/d/1IYY_tgx_IHuhSq3AJ5eI5OnqOPBNLWSHKh2a30DoXe8/edit?usp=sharing"",""ยะลา!J21"")"),0)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IFERROR(__xludf.DUMMYFUNCTION("IMPORTRANGE(""https://docs.google.com/spreadsheets/d/1IYY_tgx_IHuhSq3AJ5eI5OnqOPBNLWSHKh2a30DoXe8/edit?usp=sharing"",""ยะลา!I22"")"),0)</f>
        <v>0</v>
      </c>
      <c r="J82" s="210">
        <f ca="1">IFERROR(__xludf.DUMMYFUNCTION("IMPORTRANGE(""https://docs.google.com/spreadsheets/d/1IYY_tgx_IHuhSq3AJ5eI5OnqOPBNLWSHKh2a30DoXe8/edit?usp=sharing"",""ยะลา!J22"")"),0)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IFERROR(__xludf.DUMMYFUNCTION("IMPORTRANGE(""https://docs.google.com/spreadsheets/d/1IYY_tgx_IHuhSq3AJ5eI5OnqOPBNLWSHKh2a30DoXe8/edit?usp=sharing"",""ยะลา!I23"")"),0)</f>
        <v>0</v>
      </c>
      <c r="J83" s="210">
        <f ca="1">IFERROR(__xludf.DUMMYFUNCTION("IMPORTRANGE(""https://docs.google.com/spreadsheets/d/1IYY_tgx_IHuhSq3AJ5eI5OnqOPBNLWSHKh2a30DoXe8/edit?usp=sharing"",""ยะลา!J23"")"),0)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IFERROR(__xludf.DUMMYFUNCTION("IMPORTRANGE(""https://docs.google.com/spreadsheets/d/1IYY_tgx_IHuhSq3AJ5eI5OnqOPBNLWSHKh2a30DoXe8/edit?usp=sharing"",""ยะลา!I24"")"),0)</f>
        <v>0</v>
      </c>
      <c r="J84" s="195">
        <f ca="1">IFERROR(__xludf.DUMMYFUNCTION("IMPORTRANGE(""https://docs.google.com/spreadsheets/d/1IYY_tgx_IHuhSq3AJ5eI5OnqOPBNLWSHKh2a30DoXe8/edit?usp=sharing"",""ยะลา!J24"")"),0)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IFERROR(__xludf.DUMMYFUNCTION("IMPORTRANGE(""https://docs.google.com/spreadsheets/d/1IYY_tgx_IHuhSq3AJ5eI5OnqOPBNLWSHKh2a30DoXe8/edit?usp=sharing"",""ยะลา!I25"")"),0)</f>
        <v>0</v>
      </c>
      <c r="J85" s="195">
        <f ca="1">IFERROR(__xludf.DUMMYFUNCTION("IMPORTRANGE(""https://docs.google.com/spreadsheets/d/1IYY_tgx_IHuhSq3AJ5eI5OnqOPBNLWSHKh2a30DoXe8/edit?usp=sharing"",""ยะลา!J25"")"),0)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IFERROR(__xludf.DUMMYFUNCTION("IMPORTRANGE(""https://docs.google.com/spreadsheets/d/1IYY_tgx_IHuhSq3AJ5eI5OnqOPBNLWSHKh2a30DoXe8/edit?usp=sharing"",""ยะลา!I26"")"),0)</f>
        <v>0</v>
      </c>
      <c r="J86" s="210">
        <f ca="1">IFERROR(__xludf.DUMMYFUNCTION("IMPORTRANGE(""https://docs.google.com/spreadsheets/d/1IYY_tgx_IHuhSq3AJ5eI5OnqOPBNLWSHKh2a30DoXe8/edit?usp=sharing"",""ยะลา!J26"")"),0)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IFERROR(__xludf.DUMMYFUNCTION("IMPORTRANGE(""https://docs.google.com/spreadsheets/d/1IYY_tgx_IHuhSq3AJ5eI5OnqOPBNLWSHKh2a30DoXe8/edit?usp=sharing"",""ยะลา!I27"")"),0)</f>
        <v>0</v>
      </c>
      <c r="J87" s="210">
        <f ca="1">IFERROR(__xludf.DUMMYFUNCTION("IMPORTRANGE(""https://docs.google.com/spreadsheets/d/1IYY_tgx_IHuhSq3AJ5eI5OnqOPBNLWSHKh2a30DoXe8/edit?usp=sharing"",""ยะลา!J27"")"),0)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IFERROR(__xludf.DUMMYFUNCTION("IMPORTRANGE(""https://docs.google.com/spreadsheets/d/1IYY_tgx_IHuhSq3AJ5eI5OnqOPBNLWSHKh2a30DoXe8/edit?usp=sharing"",""ยะลา!I28"")"),0)</f>
        <v>0</v>
      </c>
      <c r="J88" s="210">
        <f ca="1">IFERROR(__xludf.DUMMYFUNCTION("IMPORTRANGE(""https://docs.google.com/spreadsheets/d/1IYY_tgx_IHuhSq3AJ5eI5OnqOPBNLWSHKh2a30DoXe8/edit?usp=sharing"",""ยะลา!J28"")"),0)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IFERROR(__xludf.DUMMYFUNCTION("IMPORTRANGE(""https://docs.google.com/spreadsheets/d/1IYY_tgx_IHuhSq3AJ5eI5OnqOPBNLWSHKh2a30DoXe8/edit?usp=sharing"",""ยะลา!J29"")"),0)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IFERROR(__xludf.DUMMYFUNCTION("IMPORTRANGE(""https://docs.google.com/spreadsheets/d/1IYY_tgx_IHuhSq3AJ5eI5OnqOPBNLWSHKh2a30DoXe8/edit?usp=sharing"",""ยะลา!J30"")"),0)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IFERROR(__xludf.DUMMYFUNCTION("IMPORTRANGE(""https://docs.google.com/spreadsheets/d/1IYY_tgx_IHuhSq3AJ5eI5OnqOPBNLWSHKh2a30DoXe8/edit?usp=sharing"",""ยะลา!I32"")"),0)</f>
        <v>0</v>
      </c>
      <c r="J92" s="146">
        <f ca="1">IFERROR(__xludf.DUMMYFUNCTION("IMPORTRANGE(""https://docs.google.com/spreadsheets/d/1IYY_tgx_IHuhSq3AJ5eI5OnqOPBNLWSHKh2a30DoXe8/edit?usp=sharing"",""ยะลา!J32"")"),0)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IFERROR(__xludf.DUMMYFUNCTION("IMPORTRANGE(""https://docs.google.com/spreadsheets/d/1IYY_tgx_IHuhSq3AJ5eI5OnqOPBNLWSHKh2a30DoXe8/edit?usp=sharing"",""ยะลา!I33"")"),0)</f>
        <v>0</v>
      </c>
      <c r="J93" s="146">
        <f ca="1">IFERROR(__xludf.DUMMYFUNCTION("IMPORTRANGE(""https://docs.google.com/spreadsheets/d/1IYY_tgx_IHuhSq3AJ5eI5OnqOPBNLWSHKh2a30DoXe8/edit?usp=sharing"",""ยะลา!J33"")"),0)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IFERROR(__xludf.DUMMYFUNCTION("IMPORTRANGE(""https://docs.google.com/spreadsheets/d/1Yj_ptqi66GCucihVvJfMjLAmec39IyEx_6qawtMGysU/edit?usp=sharing"",""สบก!AR90"")"),0)</f>
        <v>0</v>
      </c>
      <c r="N98" s="174">
        <f ca="1">IFERROR(__xludf.DUMMYFUNCTION("IMPORTRANGE(""https://docs.google.com/spreadsheets/d/1Yj_ptqi66GCucihVvJfMjLAmec39IyEx_6qawtMGysU/edit?usp=sharing"",""สบก!AS90"")"),0)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IFERROR(__xludf.DUMMYFUNCTION("IMPORTRANGE(""https://docs.google.com/spreadsheets/d/1Yj_ptqi66GCucihVvJfMjLAmec39IyEx_6qawtMGysU/edit?usp=sharing"",""สบก!AN90"")"),0)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IFERROR(__xludf.DUMMYFUNCTION("IMPORTRANGE(""https://docs.google.com/spreadsheets/d/1Yj_ptqi66GCucihVvJfMjLAmec39IyEx_6qawtMGysU/edit?usp=sharing"",""สบก!AO90"")"),0)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IFERROR(__xludf.DUMMYFUNCTION("IMPORTRANGE(""https://docs.google.com/spreadsheets/d/1Yj_ptqi66GCucihVvJfMjLAmec39IyEx_6qawtMGysU/edit?usp=sharing"",""สบก!AP90"")"),0)</f>
        <v>0</v>
      </c>
      <c r="M102" s="101"/>
      <c r="N102" s="91">
        <f ca="1">IFERROR(__xludf.DUMMYFUNCTION("IMPORTRANGE(""https://docs.google.com/spreadsheets/d/1Yj_ptqi66GCucihVvJfMjLAmec39IyEx_6qawtMGysU/edit?usp=sharing"",""สบก!AT90"")"),0)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IFERROR(__xludf.DUMMYFUNCTION("IMPORTRANGE(""https://docs.google.com/spreadsheets/d/1IYY_tgx_IHuhSq3AJ5eI5OnqOPBNLWSHKh2a30DoXe8/edit?usp=sharing"",""ยะลา!J39"")"),0)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IFERROR(__xludf.DUMMYFUNCTION("IMPORTRANGE(""https://docs.google.com/spreadsheets/d/1IYY_tgx_IHuhSq3AJ5eI5OnqOPBNLWSHKh2a30DoXe8/edit?usp=sharing"",""ยะลา!J40"")"),0)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IFERROR(__xludf.DUMMYFUNCTION("IMPORTRANGE(""https://docs.google.com/spreadsheets/d/1IYY_tgx_IHuhSq3AJ5eI5OnqOPBNLWSHKh2a30DoXe8/edit?usp=sharing"",""ยะลา!J41"")"),0)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IFERROR(__xludf.DUMMYFUNCTION("IMPORTRANGE(""https://docs.google.com/spreadsheets/d/1IYY_tgx_IHuhSq3AJ5eI5OnqOPBNLWSHKh2a30DoXe8/edit?usp=sharing"",""ยะลา!J42"")"),0)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IFERROR(__xludf.DUMMYFUNCTION("IMPORTRANGE(""https://docs.google.com/spreadsheets/d/1IYY_tgx_IHuhSq3AJ5eI5OnqOPBNLWSHKh2a30DoXe8/edit?usp=sharing"",""ยะลา!I43"")"),0)</f>
        <v>0</v>
      </c>
      <c r="J108" s="210">
        <f ca="1">IFERROR(__xludf.DUMMYFUNCTION("IMPORTRANGE(""https://docs.google.com/spreadsheets/d/1IYY_tgx_IHuhSq3AJ5eI5OnqOPBNLWSHKh2a30DoXe8/edit?usp=sharing"",""ยะลา!J43"")"),0)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IFERROR(__xludf.DUMMYFUNCTION("IMPORTRANGE(""https://docs.google.com/spreadsheets/d/1IYY_tgx_IHuhSq3AJ5eI5OnqOPBNLWSHKh2a30DoXe8/edit?usp=sharing"",""ยะลา!I44"")"),0)</f>
        <v>0</v>
      </c>
      <c r="J109" s="210">
        <f ca="1">IFERROR(__xludf.DUMMYFUNCTION("IMPORTRANGE(""https://docs.google.com/spreadsheets/d/1IYY_tgx_IHuhSq3AJ5eI5OnqOPBNLWSHKh2a30DoXe8/edit?usp=sharing"",""ยะลา!J44"")"),0)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IFERROR(__xludf.DUMMYFUNCTION("IMPORTRANGE(""https://docs.google.com/spreadsheets/d/1IYY_tgx_IHuhSq3AJ5eI5OnqOPBNLWSHKh2a30DoXe8/edit?usp=sharing"",""ยะลา!I45"")"),0)</f>
        <v>0</v>
      </c>
      <c r="J110" s="210">
        <f ca="1">IFERROR(__xludf.DUMMYFUNCTION("IMPORTRANGE(""https://docs.google.com/spreadsheets/d/1IYY_tgx_IHuhSq3AJ5eI5OnqOPBNLWSHKh2a30DoXe8/edit?usp=sharing"",""ยะลา!J45"")"),0)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IFERROR(__xludf.DUMMYFUNCTION("IMPORTRANGE(""https://docs.google.com/spreadsheets/d/1IYY_tgx_IHuhSq3AJ5eI5OnqOPBNLWSHKh2a30DoXe8/edit?usp=sharing"",""ยะลา!I46"")"),0)</f>
        <v>0</v>
      </c>
      <c r="J111" s="210">
        <f ca="1">IFERROR(__xludf.DUMMYFUNCTION("IMPORTRANGE(""https://docs.google.com/spreadsheets/d/1IYY_tgx_IHuhSq3AJ5eI5OnqOPBNLWSHKh2a30DoXe8/edit?usp=sharing"",""ยะลา!J46"")"),0)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IFERROR(__xludf.DUMMYFUNCTION("IMPORTRANGE(""https://docs.google.com/spreadsheets/d/1IYY_tgx_IHuhSq3AJ5eI5OnqOPBNLWSHKh2a30DoXe8/edit?usp=sharing"",""ยะลา!I47"")"),0)</f>
        <v>0</v>
      </c>
      <c r="J112" s="210">
        <f ca="1">IFERROR(__xludf.DUMMYFUNCTION("IMPORTRANGE(""https://docs.google.com/spreadsheets/d/1IYY_tgx_IHuhSq3AJ5eI5OnqOPBNLWSHKh2a30DoXe8/edit?usp=sharing"",""ยะลา!J47"")"),0)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IFERROR(__xludf.DUMMYFUNCTION("IMPORTRANGE(""https://docs.google.com/spreadsheets/d/1IYY_tgx_IHuhSq3AJ5eI5OnqOPBNLWSHKh2a30DoXe8/edit?usp=sharing"",""ยะลา!I48"")"),0)</f>
        <v>0</v>
      </c>
      <c r="J113" s="210">
        <f ca="1">IFERROR(__xludf.DUMMYFUNCTION("IMPORTRANGE(""https://docs.google.com/spreadsheets/d/1IYY_tgx_IHuhSq3AJ5eI5OnqOPBNLWSHKh2a30DoXe8/edit?usp=sharing"",""ยะลา!J48"")"),0)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IFERROR(__xludf.DUMMYFUNCTION("IMPORTRANGE(""https://docs.google.com/spreadsheets/d/1IYY_tgx_IHuhSq3AJ5eI5OnqOPBNLWSHKh2a30DoXe8/edit?usp=sharing"",""ยะลา!J49"")"),0)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IFERROR(__xludf.DUMMYFUNCTION("IMPORTRANGE(""https://docs.google.com/spreadsheets/d/1IYY_tgx_IHuhSq3AJ5eI5OnqOPBNLWSHKh2a30DoXe8/edit?usp=sharing"",""ยะลา!J50"")"),0)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IFERROR(__xludf.DUMMYFUNCTION("IMPORTRANGE(""https://docs.google.com/spreadsheets/d/1IYY_tgx_IHuhSq3AJ5eI5OnqOPBNLWSHKh2a30DoXe8/edit?usp=sharing"",""ยะลา!I52"")"),0)</f>
        <v>0</v>
      </c>
      <c r="J117" s="146">
        <f ca="1">IFERROR(__xludf.DUMMYFUNCTION("IMPORTRANGE(""https://docs.google.com/spreadsheets/d/1IYY_tgx_IHuhSq3AJ5eI5OnqOPBNLWSHKh2a30DoXe8/edit?usp=sharing"",""ยะลา!J52"")"),0)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IFERROR(__xludf.DUMMYFUNCTION("IMPORTRANGE(""https://docs.google.com/spreadsheets/d/1Yj_ptqi66GCucihVvJfMjLAmec39IyEx_6qawtMGysU/edit?usp=sharing"",""สบก!BA90"")"),0)</f>
        <v>0</v>
      </c>
      <c r="N122" s="174">
        <f ca="1">IFERROR(__xludf.DUMMYFUNCTION("IMPORTRANGE(""https://docs.google.com/spreadsheets/d/1Yj_ptqi66GCucihVvJfMjLAmec39IyEx_6qawtMGysU/edit?usp=sharing"",""สบก!BB90"")"),0)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IFERROR(__xludf.DUMMYFUNCTION("IMPORTRANGE(""https://docs.google.com/spreadsheets/d/1Yj_ptqi66GCucihVvJfMjLAmec39IyEx_6qawtMGysU/edit?usp=sharing"",""สบก!AW90"")"),0)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IFERROR(__xludf.DUMMYFUNCTION("IMPORTRANGE(""https://docs.google.com/spreadsheets/d/1Yj_ptqi66GCucihVvJfMjLAmec39IyEx_6qawtMGysU/edit?usp=sharing"",""สบก!AX90"")"),0)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IFERROR(__xludf.DUMMYFUNCTION("IMPORTRANGE(""https://docs.google.com/spreadsheets/d/1Yj_ptqi66GCucihVvJfMjLAmec39IyEx_6qawtMGysU/edit?usp=sharing"",""สบก!AY90"")"),0)</f>
        <v>0</v>
      </c>
      <c r="M126" s="101"/>
      <c r="N126" s="91">
        <f ca="1">IFERROR(__xludf.DUMMYFUNCTION("IMPORTRANGE(""https://docs.google.com/spreadsheets/d/1Yj_ptqi66GCucihVvJfMjLAmec39IyEx_6qawtMGysU/edit?usp=sharing"",""สบก!BC90"")"),0)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IFERROR(__xludf.DUMMYFUNCTION("IMPORTRANGE(""https://docs.google.com/spreadsheets/d/1IYY_tgx_IHuhSq3AJ5eI5OnqOPBNLWSHKh2a30DoXe8/edit?usp=sharing"",""ยะลา!J58"")"),0)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IFERROR(__xludf.DUMMYFUNCTION("IMPORTRANGE(""https://docs.google.com/spreadsheets/d/1IYY_tgx_IHuhSq3AJ5eI5OnqOPBNLWSHKh2a30DoXe8/edit?usp=sharing"",""ยะลา!J59"")"),0)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IFERROR(__xludf.DUMMYFUNCTION("IMPORTRANGE(""https://docs.google.com/spreadsheets/d/1IYY_tgx_IHuhSq3AJ5eI5OnqOPBNLWSHKh2a30DoXe8/edit?usp=sharing"",""ยะลา!J60"")"),0)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IFERROR(__xludf.DUMMYFUNCTION("IMPORTRANGE(""https://docs.google.com/spreadsheets/d/1IYY_tgx_IHuhSq3AJ5eI5OnqOPBNLWSHKh2a30DoXe8/edit?usp=sharing"",""ยะลา!J61"")"),0)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IFERROR(__xludf.DUMMYFUNCTION("IMPORTRANGE(""https://docs.google.com/spreadsheets/d/1IYY_tgx_IHuhSq3AJ5eI5OnqOPBNLWSHKh2a30DoXe8/edit?usp=sharing"",""ยะลา!I62"")"),0)</f>
        <v>0</v>
      </c>
      <c r="J132" s="210">
        <f ca="1">IFERROR(__xludf.DUMMYFUNCTION("IMPORTRANGE(""https://docs.google.com/spreadsheets/d/1IYY_tgx_IHuhSq3AJ5eI5OnqOPBNLWSHKh2a30DoXe8/edit?usp=sharing"",""ยะลา!J62"")"),0)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IFERROR(__xludf.DUMMYFUNCTION("IMPORTRANGE(""https://docs.google.com/spreadsheets/d/1IYY_tgx_IHuhSq3AJ5eI5OnqOPBNLWSHKh2a30DoXe8/edit?usp=sharing"",""ยะลา!I63"")"),0)</f>
        <v>0</v>
      </c>
      <c r="J133" s="210">
        <f ca="1">IFERROR(__xludf.DUMMYFUNCTION("IMPORTRANGE(""https://docs.google.com/spreadsheets/d/1IYY_tgx_IHuhSq3AJ5eI5OnqOPBNLWSHKh2a30DoXe8/edit?usp=sharing"",""ยะลา!J63"")"),0)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IFERROR(__xludf.DUMMYFUNCTION("IMPORTRANGE(""https://docs.google.com/spreadsheets/d/1IYY_tgx_IHuhSq3AJ5eI5OnqOPBNLWSHKh2a30DoXe8/edit?usp=sharing"",""ยะลา!J64"")"),0)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IFERROR(__xludf.DUMMYFUNCTION("IMPORTRANGE(""https://docs.google.com/spreadsheets/d/1IYY_tgx_IHuhSq3AJ5eI5OnqOPBNLWSHKh2a30DoXe8/edit?usp=sharing"",""ยะลา!J65"")"),0)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IFERROR(__xludf.DUMMYFUNCTION("IMPORTRANGE(""https://docs.google.com/spreadsheets/d/1IYY_tgx_IHuhSq3AJ5eI5OnqOPBNLWSHKh2a30DoXe8/edit?usp=sharing"",""ยะลา!I68"")"),0)</f>
        <v>0</v>
      </c>
      <c r="J138" s="273">
        <f ca="1">IFERROR(__xludf.DUMMYFUNCTION("IMPORTRANGE(""https://docs.google.com/spreadsheets/d/1IYY_tgx_IHuhSq3AJ5eI5OnqOPBNLWSHKh2a30DoXe8/edit?usp=sharing"",""ยะลา!J68"")"),0)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29300</v>
      </c>
      <c r="M140" s="156">
        <f t="shared" ca="1" si="64"/>
        <v>27625</v>
      </c>
      <c r="N140" s="156">
        <f t="shared" ca="1" si="64"/>
        <v>18400</v>
      </c>
      <c r="O140" s="155">
        <f t="shared" ref="O140:O142" ca="1" si="65">IF(L140&gt;0,N140*100/L140,0)</f>
        <v>62.798634812286693</v>
      </c>
      <c r="P140" s="155">
        <f t="shared" ref="P140:P142" ca="1" si="66">IF(M140&gt;0,N140*100/M140,0)</f>
        <v>66.606334841628964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29300</v>
      </c>
      <c r="M142" s="161">
        <f t="shared" ca="1" si="68"/>
        <v>27625</v>
      </c>
      <c r="N142" s="161">
        <f t="shared" ca="1" si="68"/>
        <v>18400</v>
      </c>
      <c r="O142" s="160">
        <f t="shared" ca="1" si="65"/>
        <v>62.798634812286693</v>
      </c>
      <c r="P142" s="160">
        <f t="shared" ca="1" si="66"/>
        <v>66.606334841628964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29300</v>
      </c>
      <c r="M144" s="173">
        <f ca="1">IFERROR(__xludf.DUMMYFUNCTION("IMPORTRANGE(""https://docs.google.com/spreadsheets/d/1Yj_ptqi66GCucihVvJfMjLAmec39IyEx_6qawtMGysU/edit?usp=sharing"",""สบก!BJ90"")"),27625)</f>
        <v>27625</v>
      </c>
      <c r="N144" s="174">
        <f ca="1">IFERROR(__xludf.DUMMYFUNCTION("IMPORTRANGE(""https://docs.google.com/spreadsheets/d/1Yj_ptqi66GCucihVvJfMjLAmec39IyEx_6qawtMGysU/edit?usp=sharing"",""สบก!BK90"")"),18400)</f>
        <v>18400</v>
      </c>
      <c r="O144" s="175">
        <f ca="1">IF(L144&gt;0,N144*100/L144,0)</f>
        <v>62.798634812286693</v>
      </c>
      <c r="P144" s="175">
        <f ca="1">IF(M144&gt;0,N144*100/M144,0)</f>
        <v>66.606334841628964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IFERROR(__xludf.DUMMYFUNCTION("IMPORTRANGE(""https://docs.google.com/spreadsheets/d/1Yj_ptqi66GCucihVvJfMjLAmec39IyEx_6qawtMGysU/edit?usp=sharing"",""สบก!BF90"")"),0)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IFERROR(__xludf.DUMMYFUNCTION("IMPORTRANGE(""https://docs.google.com/spreadsheets/d/1Yj_ptqi66GCucihVvJfMjLAmec39IyEx_6qawtMGysU/edit?usp=sharing"",""สบก!BG90"")"),29300)</f>
        <v>29300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IFERROR(__xludf.DUMMYFUNCTION("IMPORTRANGE(""https://docs.google.com/spreadsheets/d/1Yj_ptqi66GCucihVvJfMjLAmec39IyEx_6qawtMGysU/edit?usp=sharing"",""สบก!BH90"")"),0)</f>
        <v>0</v>
      </c>
      <c r="M148" s="101"/>
      <c r="N148" s="91">
        <f ca="1">IFERROR(__xludf.DUMMYFUNCTION("IMPORTRANGE(""https://docs.google.com/spreadsheets/d/1Yj_ptqi66GCucihVvJfMjLAmec39IyEx_6qawtMGysU/edit?usp=sharing"",""สบก!BL90"")"),0)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IFERROR(__xludf.DUMMYFUNCTION("IMPORTRANGE(""https://docs.google.com/spreadsheets/d/1IYY_tgx_IHuhSq3AJ5eI5OnqOPBNLWSHKh2a30DoXe8/edit?usp=sharing"",""ยะลา!I74"")"),4)</f>
        <v>4</v>
      </c>
      <c r="J149" s="281">
        <f ca="1">IFERROR(__xludf.DUMMYFUNCTION("IMPORTRANGE(""https://docs.google.com/spreadsheets/d/1IYY_tgx_IHuhSq3AJ5eI5OnqOPBNLWSHKh2a30DoXe8/edit?usp=sharing"",""ยะลา!J74"")"),2)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IFERROR(__xludf.DUMMYFUNCTION("IMPORTRANGE(""https://docs.google.com/spreadsheets/d/1IYY_tgx_IHuhSq3AJ5eI5OnqOPBNLWSHKh2a30DoXe8/edit?usp=sharing"",""ยะลา!J79"")"),0)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IFERROR(__xludf.DUMMYFUNCTION("IMPORTRANGE(""https://docs.google.com/spreadsheets/d/1IYY_tgx_IHuhSq3AJ5eI5OnqOPBNLWSHKh2a30DoXe8/edit?usp=sharing"",""ยะลา!J80"")"),1)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IFERROR(__xludf.DUMMYFUNCTION("IMPORTRANGE(""https://docs.google.com/spreadsheets/d/1IYY_tgx_IHuhSq3AJ5eI5OnqOPBNLWSHKh2a30DoXe8/edit?usp=sharing"",""ยะลา!J81"")"),1)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IFERROR(__xludf.DUMMYFUNCTION("IMPORTRANGE(""https://docs.google.com/spreadsheets/d/1IYY_tgx_IHuhSq3AJ5eI5OnqOPBNLWSHKh2a30DoXe8/edit?usp=sharing"",""ยะลา!J82"")"),1)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IFERROR(__xludf.DUMMYFUNCTION("IMPORTRANGE(""https://docs.google.com/spreadsheets/d/1IYY_tgx_IHuhSq3AJ5eI5OnqOPBNLWSHKh2a30DoXe8/edit?usp=sharing"",""ยะลา!I83"")"),4)</f>
        <v>4</v>
      </c>
      <c r="J158" s="195">
        <f ca="1">IFERROR(__xludf.DUMMYFUNCTION("IMPORTRANGE(""https://docs.google.com/spreadsheets/d/1IYY_tgx_IHuhSq3AJ5eI5OnqOPBNLWSHKh2a30DoXe8/edit?usp=sharing"",""ยะลา!J83"")"),2)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IFERROR(__xludf.DUMMYFUNCTION("IMPORTRANGE(""https://docs.google.com/spreadsheets/d/1IYY_tgx_IHuhSq3AJ5eI5OnqOPBNLWSHKh2a30DoXe8/edit?usp=sharing"",""ยะลา!J84"")"),142)</f>
        <v>142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IFERROR(__xludf.DUMMYFUNCTION("IMPORTRANGE(""https://docs.google.com/spreadsheets/d/1IYY_tgx_IHuhSq3AJ5eI5OnqOPBNLWSHKh2a30DoXe8/edit?usp=sharing"",""ยะลา!J85"")"),142)</f>
        <v>142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IFERROR(__xludf.DUMMYFUNCTION("IMPORTRANGE(""https://docs.google.com/spreadsheets/d/1IYY_tgx_IHuhSq3AJ5eI5OnqOPBNLWSHKh2a30DoXe8/edit?usp=sharing"",""ยะลา!J86"")"),0)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IFERROR(__xludf.DUMMYFUNCTION("IMPORTRANGE(""https://docs.google.com/spreadsheets/d/1IYY_tgx_IHuhSq3AJ5eI5OnqOPBNLWSHKh2a30DoXe8/edit?usp=sharing"",""ยะลา!J87"")"),0)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IFERROR(__xludf.DUMMYFUNCTION("IMPORTRANGE(""https://docs.google.com/spreadsheets/d/1IYY_tgx_IHuhSq3AJ5eI5OnqOPBNLWSHKh2a30DoXe8/edit?usp=sharing"",""ยะลา!J88"")"),0)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IFERROR(__xludf.DUMMYFUNCTION("IMPORTRANGE(""https://docs.google.com/spreadsheets/d/1IYY_tgx_IHuhSq3AJ5eI5OnqOPBNLWSHKh2a30DoXe8/edit?usp=sharing"",""ยะลา!I89"")"),1)</f>
        <v>1</v>
      </c>
      <c r="J164" s="290">
        <f ca="1">IFERROR(__xludf.DUMMYFUNCTION("IMPORTRANGE(""https://docs.google.com/spreadsheets/d/1IYY_tgx_IHuhSq3AJ5eI5OnqOPBNLWSHKh2a30DoXe8/edit?usp=sharing"",""ยะลา!J89"")"),1)</f>
        <v>1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IFERROR(__xludf.DUMMYFUNCTION("IMPORTRANGE(""https://docs.google.com/spreadsheets/d/1IYY_tgx_IHuhSq3AJ5eI5OnqOPBNLWSHKh2a30DoXe8/edit?usp=sharing"",""ยะลา!J94"")"),0)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IFERROR(__xludf.DUMMYFUNCTION("IMPORTRANGE(""https://docs.google.com/spreadsheets/d/1IYY_tgx_IHuhSq3AJ5eI5OnqOPBNLWSHKh2a30DoXe8/edit?usp=sharing"",""ยะลา!J95"")"),1)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IFERROR(__xludf.DUMMYFUNCTION("IMPORTRANGE(""https://docs.google.com/spreadsheets/d/1IYY_tgx_IHuhSq3AJ5eI5OnqOPBNLWSHKh2a30DoXe8/edit?usp=sharing"",""ยะลา!J96"")"),1)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IFERROR(__xludf.DUMMYFUNCTION("IMPORTRANGE(""https://docs.google.com/spreadsheets/d/1IYY_tgx_IHuhSq3AJ5eI5OnqOPBNLWSHKh2a30DoXe8/edit?usp=sharing"",""ยะลา!J97"")"),1)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IFERROR(__xludf.DUMMYFUNCTION("IMPORTRANGE(""https://docs.google.com/spreadsheets/d/1IYY_tgx_IHuhSq3AJ5eI5OnqOPBNLWSHKh2a30DoXe8/edit?usp=sharing"",""ยะลา!I98"")"),1)</f>
        <v>1</v>
      </c>
      <c r="J173" s="195">
        <f ca="1">IFERROR(__xludf.DUMMYFUNCTION("IMPORTRANGE(""https://docs.google.com/spreadsheets/d/1IYY_tgx_IHuhSq3AJ5eI5OnqOPBNLWSHKh2a30DoXe8/edit?usp=sharing"",""ยะลา!J98"")"),1)</f>
        <v>1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IFERROR(__xludf.DUMMYFUNCTION("IMPORTRANGE(""https://docs.google.com/spreadsheets/d/1IYY_tgx_IHuhSq3AJ5eI5OnqOPBNLWSHKh2a30DoXe8/edit?usp=sharing"",""ยะลา!J99"")"),0)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IFERROR(__xludf.DUMMYFUNCTION("IMPORTRANGE(""https://docs.google.com/spreadsheets/d/1IYY_tgx_IHuhSq3AJ5eI5OnqOPBNLWSHKh2a30DoXe8/edit?usp=sharing"",""ยะลา!J100"")"),0)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IFERROR(__xludf.DUMMYFUNCTION("IMPORTRANGE(""https://docs.google.com/spreadsheets/d/1IYY_tgx_IHuhSq3AJ5eI5OnqOPBNLWSHKh2a30DoXe8/edit?usp=sharing"",""ยะลา!I101"")"),0)</f>
        <v>0</v>
      </c>
      <c r="J176" s="290">
        <f ca="1">IFERROR(__xludf.DUMMYFUNCTION("IMPORTRANGE(""https://docs.google.com/spreadsheets/d/1IYY_tgx_IHuhSq3AJ5eI5OnqOPBNLWSHKh2a30DoXe8/edit?usp=sharing"",""ยะลา!J101"")"),0)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IFERROR(__xludf.DUMMYFUNCTION("IMPORTRANGE(""https://docs.google.com/spreadsheets/d/1IYY_tgx_IHuhSq3AJ5eI5OnqOPBNLWSHKh2a30DoXe8/edit?usp=sharing"",""ยะลา!J106"")"),0)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IFERROR(__xludf.DUMMYFUNCTION("IMPORTRANGE(""https://docs.google.com/spreadsheets/d/1IYY_tgx_IHuhSq3AJ5eI5OnqOPBNLWSHKh2a30DoXe8/edit?usp=sharing"",""ยะลา!J107"")"),0)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IFERROR(__xludf.DUMMYFUNCTION("IMPORTRANGE(""https://docs.google.com/spreadsheets/d/1IYY_tgx_IHuhSq3AJ5eI5OnqOPBNLWSHKh2a30DoXe8/edit?usp=sharing"",""ยะลา!J108"")"),0)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IFERROR(__xludf.DUMMYFUNCTION("IMPORTRANGE(""https://docs.google.com/spreadsheets/d/1IYY_tgx_IHuhSq3AJ5eI5OnqOPBNLWSHKh2a30DoXe8/edit?usp=sharing"",""ยะลา!J109"")"),0)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IFERROR(__xludf.DUMMYFUNCTION("IMPORTRANGE(""https://docs.google.com/spreadsheets/d/1IYY_tgx_IHuhSq3AJ5eI5OnqOPBNLWSHKh2a30DoXe8/edit?usp=sharing"",""ยะลา!I110"")"),0)</f>
        <v>0</v>
      </c>
      <c r="J185" s="210">
        <f ca="1">IFERROR(__xludf.DUMMYFUNCTION("IMPORTRANGE(""https://docs.google.com/spreadsheets/d/1IYY_tgx_IHuhSq3AJ5eI5OnqOPBNLWSHKh2a30DoXe8/edit?usp=sharing"",""ยะลา!J110"")"),0)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IFERROR(__xludf.DUMMYFUNCTION("IMPORTRANGE(""https://docs.google.com/spreadsheets/d/1IYY_tgx_IHuhSq3AJ5eI5OnqOPBNLWSHKh2a30DoXe8/edit?usp=sharing"",""ยะลา!I111"")"),0)</f>
        <v>0</v>
      </c>
      <c r="J186" s="210">
        <f ca="1">IFERROR(__xludf.DUMMYFUNCTION("IMPORTRANGE(""https://docs.google.com/spreadsheets/d/1IYY_tgx_IHuhSq3AJ5eI5OnqOPBNLWSHKh2a30DoXe8/edit?usp=sharing"",""ยะลา!J111"")"),0)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IFERROR(__xludf.DUMMYFUNCTION("IMPORTRANGE(""https://docs.google.com/spreadsheets/d/1IYY_tgx_IHuhSq3AJ5eI5OnqOPBNLWSHKh2a30DoXe8/edit?usp=sharing"",""ยะลา!J112"")"),0)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IFERROR(__xludf.DUMMYFUNCTION("IMPORTRANGE(""https://docs.google.com/spreadsheets/d/1IYY_tgx_IHuhSq3AJ5eI5OnqOPBNLWSHKh2a30DoXe8/edit?usp=sharing"",""ยะลา!J113"")"),0)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IFERROR(__xludf.DUMMYFUNCTION("IMPORTRANGE(""https://docs.google.com/spreadsheets/d/1IYY_tgx_IHuhSq3AJ5eI5OnqOPBNLWSHKh2a30DoXe8/edit?usp=sharing"",""ยะลา!I114"")"),12000)</f>
        <v>12000</v>
      </c>
      <c r="J189" s="290">
        <f ca="1">IFERROR(__xludf.DUMMYFUNCTION("IMPORTRANGE(""https://docs.google.com/spreadsheets/d/1IYY_tgx_IHuhSq3AJ5eI5OnqOPBNLWSHKh2a30DoXe8/edit?usp=sharing"",""ยะลา!J114"")"),0)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IFERROR(__xludf.DUMMYFUNCTION("IMPORTRANGE(""https://docs.google.com/spreadsheets/d/1IYY_tgx_IHuhSq3AJ5eI5OnqOPBNLWSHKh2a30DoXe8/edit?usp=sharing"",""ยะลา!J119"")"),1)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IFERROR(__xludf.DUMMYFUNCTION("IMPORTRANGE(""https://docs.google.com/spreadsheets/d/1IYY_tgx_IHuhSq3AJ5eI5OnqOPBNLWSHKh2a30DoXe8/edit?usp=sharing"",""ยะลา!J120"")"),0)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IFERROR(__xludf.DUMMYFUNCTION("IMPORTRANGE(""https://docs.google.com/spreadsheets/d/1IYY_tgx_IHuhSq3AJ5eI5OnqOPBNLWSHKh2a30DoXe8/edit?usp=sharing"",""ยะลา!J121"")"),0)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IFERROR(__xludf.DUMMYFUNCTION("IMPORTRANGE(""https://docs.google.com/spreadsheets/d/1IYY_tgx_IHuhSq3AJ5eI5OnqOPBNLWSHKh2a30DoXe8/edit?usp=sharing"",""ยะลา!J122"")"),0)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IFERROR(__xludf.DUMMYFUNCTION("IMPORTRANGE(""https://docs.google.com/spreadsheets/d/1IYY_tgx_IHuhSq3AJ5eI5OnqOPBNLWSHKh2a30DoXe8/edit?usp=sharing"",""ยะลา!I124"")"),12000)</f>
        <v>12000</v>
      </c>
      <c r="J199" s="195">
        <f ca="1">IFERROR(__xludf.DUMMYFUNCTION("IMPORTRANGE(""https://docs.google.com/spreadsheets/d/1IYY_tgx_IHuhSq3AJ5eI5OnqOPBNLWSHKh2a30DoXe8/edit?usp=sharing"",""ยะลา!J124"")"),0)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IFERROR(__xludf.DUMMYFUNCTION("IMPORTRANGE(""https://docs.google.com/spreadsheets/d/1IYY_tgx_IHuhSq3AJ5eI5OnqOPBNLWSHKh2a30DoXe8/edit?usp=sharing"",""ยะลา!I125"")"),12000)</f>
        <v>12000</v>
      </c>
      <c r="J200" s="195">
        <f ca="1">IFERROR(__xludf.DUMMYFUNCTION("IMPORTRANGE(""https://docs.google.com/spreadsheets/d/1IYY_tgx_IHuhSq3AJ5eI5OnqOPBNLWSHKh2a30DoXe8/edit?usp=sharing"",""ยะลา!J125"")"),0)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IFERROR(__xludf.DUMMYFUNCTION("IMPORTRANGE(""https://docs.google.com/spreadsheets/d/1IYY_tgx_IHuhSq3AJ5eI5OnqOPBNLWSHKh2a30DoXe8/edit?usp=sharing"",""ยะลา!I126"")"),0)</f>
        <v>0</v>
      </c>
      <c r="J201" s="195">
        <f ca="1">IFERROR(__xludf.DUMMYFUNCTION("IMPORTRANGE(""https://docs.google.com/spreadsheets/d/1IYY_tgx_IHuhSq3AJ5eI5OnqOPBNLWSHKh2a30DoXe8/edit?usp=sharing"",""ยะลา!J126"")"),0)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IFERROR(__xludf.DUMMYFUNCTION("IMPORTRANGE(""https://docs.google.com/spreadsheets/d/1IYY_tgx_IHuhSq3AJ5eI5OnqOPBNLWSHKh2a30DoXe8/edit?usp=sharing"",""ยะลา!J127"")"),0)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IFERROR(__xludf.DUMMYFUNCTION("IMPORTRANGE(""https://docs.google.com/spreadsheets/d/1IYY_tgx_IHuhSq3AJ5eI5OnqOPBNLWSHKh2a30DoXe8/edit?usp=sharing"",""ยะลา!J128"")"),0)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IFERROR(__xludf.DUMMYFUNCTION("IMPORTRANGE(""https://docs.google.com/spreadsheets/d/1IYY_tgx_IHuhSq3AJ5eI5OnqOPBNLWSHKh2a30DoXe8/edit?usp=sharing"",""ยะลา!I129"")"),0)</f>
        <v>0</v>
      </c>
      <c r="J204" s="290">
        <f ca="1">IFERROR(__xludf.DUMMYFUNCTION("IMPORTRANGE(""https://docs.google.com/spreadsheets/d/1IYY_tgx_IHuhSq3AJ5eI5OnqOPBNLWSHKh2a30DoXe8/edit?usp=sharing"",""ยะลา!J129"")"),0)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IFERROR(__xludf.DUMMYFUNCTION("IMPORTRANGE(""https://docs.google.com/spreadsheets/d/1IYY_tgx_IHuhSq3AJ5eI5OnqOPBNLWSHKh2a30DoXe8/edit?usp=sharing"",""ยะลา!J134"")"),0)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IFERROR(__xludf.DUMMYFUNCTION("IMPORTRANGE(""https://docs.google.com/spreadsheets/d/1IYY_tgx_IHuhSq3AJ5eI5OnqOPBNLWSHKh2a30DoXe8/edit?usp=sharing"",""ยะลา!J135"")"),0)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IFERROR(__xludf.DUMMYFUNCTION("IMPORTRANGE(""https://docs.google.com/spreadsheets/d/1IYY_tgx_IHuhSq3AJ5eI5OnqOPBNLWSHKh2a30DoXe8/edit?usp=sharing"",""ยะลา!J136"")"),0)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IFERROR(__xludf.DUMMYFUNCTION("IMPORTRANGE(""https://docs.google.com/spreadsheets/d/1IYY_tgx_IHuhSq3AJ5eI5OnqOPBNLWSHKh2a30DoXe8/edit?usp=sharing"",""ยะลา!J137"")"),0)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IFERROR(__xludf.DUMMYFUNCTION("IMPORTRANGE(""https://docs.google.com/spreadsheets/d/1IYY_tgx_IHuhSq3AJ5eI5OnqOPBNLWSHKh2a30DoXe8/edit?usp=sharing"",""ยะลา!I138"")"),0)</f>
        <v>0</v>
      </c>
      <c r="J213" s="210">
        <f ca="1">IFERROR(__xludf.DUMMYFUNCTION("IMPORTRANGE(""https://docs.google.com/spreadsheets/d/1IYY_tgx_IHuhSq3AJ5eI5OnqOPBNLWSHKh2a30DoXe8/edit?usp=sharing"",""ยะลา!J138"")"),0)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IFERROR(__xludf.DUMMYFUNCTION("IMPORTRANGE(""https://docs.google.com/spreadsheets/d/1IYY_tgx_IHuhSq3AJ5eI5OnqOPBNLWSHKh2a30DoXe8/edit?usp=sharing"",""ยะลา!I140"")"),0)</f>
        <v>0</v>
      </c>
      <c r="J215" s="210">
        <f ca="1">IFERROR(__xludf.DUMMYFUNCTION("IMPORTRANGE(""https://docs.google.com/spreadsheets/d/1IYY_tgx_IHuhSq3AJ5eI5OnqOPBNLWSHKh2a30DoXe8/edit?usp=sharing"",""ยะลา!J140"")"),0)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IFERROR(__xludf.DUMMYFUNCTION("IMPORTRANGE(""https://docs.google.com/spreadsheets/d/1IYY_tgx_IHuhSq3AJ5eI5OnqOPBNLWSHKh2a30DoXe8/edit?usp=sharing"",""ยะลา!I141"")"),0)</f>
        <v>0</v>
      </c>
      <c r="J216" s="210">
        <f ca="1">IFERROR(__xludf.DUMMYFUNCTION("IMPORTRANGE(""https://docs.google.com/spreadsheets/d/1IYY_tgx_IHuhSq3AJ5eI5OnqOPBNLWSHKh2a30DoXe8/edit?usp=sharing"",""ยะลา!J141"")"),0)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IFERROR(__xludf.DUMMYFUNCTION("IMPORTRANGE(""https://docs.google.com/spreadsheets/d/1IYY_tgx_IHuhSq3AJ5eI5OnqOPBNLWSHKh2a30DoXe8/edit?usp=sharing"",""ยะลา!J142"")"),0)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IFERROR(__xludf.DUMMYFUNCTION("IMPORTRANGE(""https://docs.google.com/spreadsheets/d/1IYY_tgx_IHuhSq3AJ5eI5OnqOPBNLWSHKh2a30DoXe8/edit?usp=sharing"",""ยะลา!J143"")"),0)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IFERROR(__xludf.DUMMYFUNCTION("IMPORTRANGE(""https://docs.google.com/spreadsheets/d/1IYY_tgx_IHuhSq3AJ5eI5OnqOPBNLWSHKh2a30DoXe8/edit?usp=sharing"",""ยะลา!I144"")"),15)</f>
        <v>15</v>
      </c>
      <c r="J219" s="273">
        <f ca="1">IFERROR(__xludf.DUMMYFUNCTION("IMPORTRANGE(""https://docs.google.com/spreadsheets/d/1IYY_tgx_IHuhSq3AJ5eI5OnqOPBNLWSHKh2a30DoXe8/edit?usp=sharing"",""ยะลา!J144"")"),15)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IFERROR(__xludf.DUMMYFUNCTION("IMPORTRANGE(""https://docs.google.com/spreadsheets/d/1Yj_ptqi66GCucihVvJfMjLAmec39IyEx_6qawtMGysU/edit?usp=sharing"",""สบก!BS90"")"),21125)</f>
        <v>21125</v>
      </c>
      <c r="N224" s="174">
        <f ca="1">IFERROR(__xludf.DUMMYFUNCTION("IMPORTRANGE(""https://docs.google.com/spreadsheets/d/1Yj_ptqi66GCucihVvJfMjLAmec39IyEx_6qawtMGysU/edit?usp=sharing"",""สบก!BT90"")"),21125)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IFERROR(__xludf.DUMMYFUNCTION("IMPORTRANGE(""https://docs.google.com/spreadsheets/d/1Yj_ptqi66GCucihVvJfMjLAmec39IyEx_6qawtMGysU/edit?usp=sharing"",""สบก!BO90"")"),0)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IFERROR(__xludf.DUMMYFUNCTION("IMPORTRANGE(""https://docs.google.com/spreadsheets/d/1Yj_ptqi66GCucihVvJfMjLAmec39IyEx_6qawtMGysU/edit?usp=sharing"",""สบก!BP90"")"),21125)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IFERROR(__xludf.DUMMYFUNCTION("IMPORTRANGE(""https://docs.google.com/spreadsheets/d/1Yj_ptqi66GCucihVvJfMjLAmec39IyEx_6qawtMGysU/edit?usp=sharing"",""สบก!BQ90"")"),0)</f>
        <v>0</v>
      </c>
      <c r="M228" s="101"/>
      <c r="N228" s="91">
        <f ca="1">IFERROR(__xludf.DUMMYFUNCTION("IMPORTRANGE(""https://docs.google.com/spreadsheets/d/1Yj_ptqi66GCucihVvJfMjLAmec39IyEx_6qawtMGysU/edit?usp=sharing"",""สบก!BU90"")"),0)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IFERROR(__xludf.DUMMYFUNCTION("IMPORTRANGE(""https://docs.google.com/spreadsheets/d/1IYY_tgx_IHuhSq3AJ5eI5OnqOPBNLWSHKh2a30DoXe8/edit?usp=sharing"",""ยะลา!I149"")"),15)</f>
        <v>15</v>
      </c>
      <c r="J229" s="273">
        <f ca="1">IFERROR(__xludf.DUMMYFUNCTION("IMPORTRANGE(""https://docs.google.com/spreadsheets/d/1IYY_tgx_IHuhSq3AJ5eI5OnqOPBNLWSHKh2a30DoXe8/edit?usp=sharing"",""ยะลา!J149"")"),15)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IFERROR(__xludf.DUMMYFUNCTION("IMPORTRANGE(""https://docs.google.com/spreadsheets/d/1IYY_tgx_IHuhSq3AJ5eI5OnqOPBNLWSHKh2a30DoXe8/edit?usp=sharing"",""ยะลา!J151"")"),0)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IFERROR(__xludf.DUMMYFUNCTION("IMPORTRANGE(""https://docs.google.com/spreadsheets/d/1IYY_tgx_IHuhSq3AJ5eI5OnqOPBNLWSHKh2a30DoXe8/edit?usp=sharing"",""ยะลา!J152"")"),1)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IFERROR(__xludf.DUMMYFUNCTION("IMPORTRANGE(""https://docs.google.com/spreadsheets/d/1IYY_tgx_IHuhSq3AJ5eI5OnqOPBNLWSHKh2a30DoXe8/edit?usp=sharing"",""ยะลา!J153"")"),1)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IFERROR(__xludf.DUMMYFUNCTION("IMPORTRANGE(""https://docs.google.com/spreadsheets/d/1IYY_tgx_IHuhSq3AJ5eI5OnqOPBNLWSHKh2a30DoXe8/edit?usp=sharing"",""ยะลา!J154"")"),1)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IFERROR(__xludf.DUMMYFUNCTION("IMPORTRANGE(""https://docs.google.com/spreadsheets/d/1IYY_tgx_IHuhSq3AJ5eI5OnqOPBNLWSHKh2a30DoXe8/edit?usp=sharing"",""ยะลา!I155"")"),15)</f>
        <v>15</v>
      </c>
      <c r="J235" s="195">
        <f ca="1">IFERROR(__xludf.DUMMYFUNCTION("IMPORTRANGE(""https://docs.google.com/spreadsheets/d/1IYY_tgx_IHuhSq3AJ5eI5OnqOPBNLWSHKh2a30DoXe8/edit?usp=sharing"",""ยะลา!J155"")"),15)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IFERROR(__xludf.DUMMYFUNCTION("IMPORTRANGE(""https://docs.google.com/spreadsheets/d/1IYY_tgx_IHuhSq3AJ5eI5OnqOPBNLWSHKh2a30DoXe8/edit?usp=sharing"",""ยะลา!J156"")"),0)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IFERROR(__xludf.DUMMYFUNCTION("IMPORTRANGE(""https://docs.google.com/spreadsheets/d/1IYY_tgx_IHuhSq3AJ5eI5OnqOPBNLWSHKh2a30DoXe8/edit?usp=sharing"",""ยะลา!J157"")"),0)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IFERROR(__xludf.DUMMYFUNCTION("IMPORTRANGE(""https://docs.google.com/spreadsheets/d/1IYY_tgx_IHuhSq3AJ5eI5OnqOPBNLWSHKh2a30DoXe8/edit?usp=sharing"",""ยะลา!I158"")"),0)</f>
        <v>0</v>
      </c>
      <c r="J238" s="273">
        <f ca="1">IFERROR(__xludf.DUMMYFUNCTION("IMPORTRANGE(""https://docs.google.com/spreadsheets/d/1IYY_tgx_IHuhSq3AJ5eI5OnqOPBNLWSHKh2a30DoXe8/edit?usp=sharing"",""ยะลา!J158"")"),0)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IFERROR(__xludf.DUMMYFUNCTION("IMPORTRANGE(""https://docs.google.com/spreadsheets/d/1IYY_tgx_IHuhSq3AJ5eI5OnqOPBNLWSHKh2a30DoXe8/edit?usp=sharing"",""ยะลา!J159"")"),"")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IFERROR(__xludf.DUMMYFUNCTION("IMPORTRANGE(""https://docs.google.com/spreadsheets/d/1IYY_tgx_IHuhSq3AJ5eI5OnqOPBNLWSHKh2a30DoXe8/edit?usp=sharing"",""ยะลา!J161"")"),0)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IFERROR(__xludf.DUMMYFUNCTION("IMPORTRANGE(""https://docs.google.com/spreadsheets/d/1IYY_tgx_IHuhSq3AJ5eI5OnqOPBNLWSHKh2a30DoXe8/edit?usp=sharing"",""ยะลา!J162"")"),0)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IFERROR(__xludf.DUMMYFUNCTION("IMPORTRANGE(""https://docs.google.com/spreadsheets/d/1IYY_tgx_IHuhSq3AJ5eI5OnqOPBNLWSHKh2a30DoXe8/edit?usp=sharing"",""ยะลา!J163"")"),0)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IFERROR(__xludf.DUMMYFUNCTION("IMPORTRANGE(""https://docs.google.com/spreadsheets/d/1IYY_tgx_IHuhSq3AJ5eI5OnqOPBNLWSHKh2a30DoXe8/edit?usp=sharing"",""ยะลา!I164"")"),0)</f>
        <v>0</v>
      </c>
      <c r="J244" s="194">
        <f ca="1">IFERROR(__xludf.DUMMYFUNCTION("IMPORTRANGE(""https://docs.google.com/spreadsheets/d/1IYY_tgx_IHuhSq3AJ5eI5OnqOPBNLWSHKh2a30DoXe8/edit?usp=sharing"",""ยะลา!J164"")"),0)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IFERROR(__xludf.DUMMYFUNCTION("IMPORTRANGE(""https://docs.google.com/spreadsheets/d/1IYY_tgx_IHuhSq3AJ5eI5OnqOPBNLWSHKh2a30DoXe8/edit?usp=sharing"",""ยะลา!J165"")"),0)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IFERROR(__xludf.DUMMYFUNCTION("IMPORTRANGE(""https://docs.google.com/spreadsheets/d/1IYY_tgx_IHuhSq3AJ5eI5OnqOPBNLWSHKh2a30DoXe8/edit?usp=sharing"",""ยะลา!J166"")"),0)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IFERROR(__xludf.DUMMYFUNCTION("IMPORTRANGE(""https://docs.google.com/spreadsheets/d/1IYY_tgx_IHuhSq3AJ5eI5OnqOPBNLWSHKh2a30DoXe8/edit?usp=sharing"",""ยะลา!I169"")"),0)</f>
        <v>0</v>
      </c>
      <c r="J249" s="322">
        <f ca="1">IFERROR(__xludf.DUMMYFUNCTION("IMPORTRANGE(""https://docs.google.com/spreadsheets/d/1IYY_tgx_IHuhSq3AJ5eI5OnqOPBNLWSHKh2a30DoXe8/edit?usp=sharing"",""ยะลา!J169"")"),0)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IFERROR(__xludf.DUMMYFUNCTION("IMPORTRANGE(""https://docs.google.com/spreadsheets/d/1Yj_ptqi66GCucihVvJfMjLAmec39IyEx_6qawtMGysU/edit?usp=sharing"",""สบก!CB90"")"),0)</f>
        <v>0</v>
      </c>
      <c r="N254" s="174">
        <f ca="1">IFERROR(__xludf.DUMMYFUNCTION("IMPORTRANGE(""https://docs.google.com/spreadsheets/d/1Yj_ptqi66GCucihVvJfMjLAmec39IyEx_6qawtMGysU/edit?usp=sharing"",""สบก!CC90"")"),0)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IFERROR(__xludf.DUMMYFUNCTION("IMPORTRANGE(""https://docs.google.com/spreadsheets/d/1Yj_ptqi66GCucihVvJfMjLAmec39IyEx_6qawtMGysU/edit?usp=sharing"",""สบก!BX90"")"),0)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IFERROR(__xludf.DUMMYFUNCTION("IMPORTRANGE(""https://docs.google.com/spreadsheets/d/1Yj_ptqi66GCucihVvJfMjLAmec39IyEx_6qawtMGysU/edit?usp=sharing"",""สบก!BY90"")"),0)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IFERROR(__xludf.DUMMYFUNCTION("IMPORTRANGE(""https://docs.google.com/spreadsheets/d/1Yj_ptqi66GCucihVvJfMjLAmec39IyEx_6qawtMGysU/edit?usp=sharing"",""สบก!BZ90"")"),0)</f>
        <v>0</v>
      </c>
      <c r="M258" s="101"/>
      <c r="N258" s="91">
        <f ca="1">IFERROR(__xludf.DUMMYFUNCTION("IMPORTRANGE(""https://docs.google.com/spreadsheets/d/1Yj_ptqi66GCucihVvJfMjLAmec39IyEx_6qawtMGysU/edit?usp=sharing"",""สบก!CD90"")"),0)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IFERROR(__xludf.DUMMYFUNCTION("IMPORTRANGE(""https://docs.google.com/spreadsheets/d/1IYY_tgx_IHuhSq3AJ5eI5OnqOPBNLWSHKh2a30DoXe8/edit?usp=sharing"",""ยะลา!J175"")"),0)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IFERROR(__xludf.DUMMYFUNCTION("IMPORTRANGE(""https://docs.google.com/spreadsheets/d/1IYY_tgx_IHuhSq3AJ5eI5OnqOPBNLWSHKh2a30DoXe8/edit?usp=sharing"",""ยะลา!J176"")"),0)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IFERROR(__xludf.DUMMYFUNCTION("IMPORTRANGE(""https://docs.google.com/spreadsheets/d/1IYY_tgx_IHuhSq3AJ5eI5OnqOPBNLWSHKh2a30DoXe8/edit?usp=sharing"",""ยะลา!J177"")"),0)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IFERROR(__xludf.DUMMYFUNCTION("IMPORTRANGE(""https://docs.google.com/spreadsheets/d/1IYY_tgx_IHuhSq3AJ5eI5OnqOPBNLWSHKh2a30DoXe8/edit?usp=sharing"",""ยะลา!J178"")"),0)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IFERROR(__xludf.DUMMYFUNCTION("IMPORTRANGE(""https://docs.google.com/spreadsheets/d/1IYY_tgx_IHuhSq3AJ5eI5OnqOPBNLWSHKh2a30DoXe8/edit?usp=sharing"",""ยะลา!I179"")"),0)</f>
        <v>0</v>
      </c>
      <c r="J264" s="195">
        <f ca="1">IFERROR(__xludf.DUMMYFUNCTION("IMPORTRANGE(""https://docs.google.com/spreadsheets/d/1IYY_tgx_IHuhSq3AJ5eI5OnqOPBNLWSHKh2a30DoXe8/edit?usp=sharing"",""ยะลา!J179"")"),0)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IFERROR(__xludf.DUMMYFUNCTION("IMPORTRANGE(""https://docs.google.com/spreadsheets/d/1IYY_tgx_IHuhSq3AJ5eI5OnqOPBNLWSHKh2a30DoXe8/edit?usp=sharing"",""ยะลา!I180"")"),0)</f>
        <v>0</v>
      </c>
      <c r="J265" s="195">
        <f ca="1">IFERROR(__xludf.DUMMYFUNCTION("IMPORTRANGE(""https://docs.google.com/spreadsheets/d/1IYY_tgx_IHuhSq3AJ5eI5OnqOPBNLWSHKh2a30DoXe8/edit?usp=sharing"",""ยะลา!J180"")"),0)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IFERROR(__xludf.DUMMYFUNCTION("IMPORTRANGE(""https://docs.google.com/spreadsheets/d/1IYY_tgx_IHuhSq3AJ5eI5OnqOPBNLWSHKh2a30DoXe8/edit?usp=sharing"",""ยะลา!I181"")"),0)</f>
        <v>0</v>
      </c>
      <c r="J266" s="195">
        <f ca="1">IFERROR(__xludf.DUMMYFUNCTION("IMPORTRANGE(""https://docs.google.com/spreadsheets/d/1IYY_tgx_IHuhSq3AJ5eI5OnqOPBNLWSHKh2a30DoXe8/edit?usp=sharing"",""ยะลา!J181"")"),0)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IFERROR(__xludf.DUMMYFUNCTION("IMPORTRANGE(""https://docs.google.com/spreadsheets/d/1IYY_tgx_IHuhSq3AJ5eI5OnqOPBNLWSHKh2a30DoXe8/edit?usp=sharing"",""ยะลา!I182"")"),0)</f>
        <v>0</v>
      </c>
      <c r="J267" s="195">
        <f ca="1">IFERROR(__xludf.DUMMYFUNCTION("IMPORTRANGE(""https://docs.google.com/spreadsheets/d/1IYY_tgx_IHuhSq3AJ5eI5OnqOPBNLWSHKh2a30DoXe8/edit?usp=sharing"",""ยะลา!J182"")"),0)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IFERROR(__xludf.DUMMYFUNCTION("IMPORTRANGE(""https://docs.google.com/spreadsheets/d/1IYY_tgx_IHuhSq3AJ5eI5OnqOPBNLWSHKh2a30DoXe8/edit?usp=sharing"",""ยะลา!J183"")"),0)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IFERROR(__xludf.DUMMYFUNCTION("IMPORTRANGE(""https://docs.google.com/spreadsheets/d/1IYY_tgx_IHuhSq3AJ5eI5OnqOPBNLWSHKh2a30DoXe8/edit?usp=sharing"",""ยะลา!J184"")"),0)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IFERROR(__xludf.DUMMYFUNCTION("IMPORTRANGE(""https://docs.google.com/spreadsheets/d/1IYY_tgx_IHuhSq3AJ5eI5OnqOPBNLWSHKh2a30DoXe8/edit?usp=sharing"",""ยะลา!I185"")"),0)</f>
        <v>0</v>
      </c>
      <c r="J270" s="322">
        <f ca="1">IFERROR(__xludf.DUMMYFUNCTION("IMPORTRANGE(""https://docs.google.com/spreadsheets/d/1IYY_tgx_IHuhSq3AJ5eI5OnqOPBNLWSHKh2a30DoXe8/edit?usp=sharing"",""ยะลา!J185"")"),0)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IFERROR(__xludf.DUMMYFUNCTION("IMPORTRANGE(""https://docs.google.com/spreadsheets/d/1Yj_ptqi66GCucihVvJfMjLAmec39IyEx_6qawtMGysU/edit?usp=sharing"",""สบก!CK90"")"),0)</f>
        <v>0</v>
      </c>
      <c r="N275" s="174">
        <f ca="1">IFERROR(__xludf.DUMMYFUNCTION("IMPORTRANGE(""https://docs.google.com/spreadsheets/d/1Yj_ptqi66GCucihVvJfMjLAmec39IyEx_6qawtMGysU/edit?usp=sharing"",""สบก!CL90"")"),0)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IFERROR(__xludf.DUMMYFUNCTION("IMPORTRANGE(""https://docs.google.com/spreadsheets/d/1Yj_ptqi66GCucihVvJfMjLAmec39IyEx_6qawtMGysU/edit?usp=sharing"",""สบก!CG90"")"),0)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IFERROR(__xludf.DUMMYFUNCTION("IMPORTRANGE(""https://docs.google.com/spreadsheets/d/1Yj_ptqi66GCucihVvJfMjLAmec39IyEx_6qawtMGysU/edit?usp=sharing"",""สบก!CH90"")"),0)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IFERROR(__xludf.DUMMYFUNCTION("IMPORTRANGE(""https://docs.google.com/spreadsheets/d/1Yj_ptqi66GCucihVvJfMjLAmec39IyEx_6qawtMGysU/edit?usp=sharing"",""สบก!CI90"")"),0)</f>
        <v>0</v>
      </c>
      <c r="M279" s="101"/>
      <c r="N279" s="91">
        <f ca="1">IFERROR(__xludf.DUMMYFUNCTION("IMPORTRANGE(""https://docs.google.com/spreadsheets/d/1Yj_ptqi66GCucihVvJfMjLAmec39IyEx_6qawtMGysU/edit?usp=sharing"",""สบก!CM90"")"),0)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IFERROR(__xludf.DUMMYFUNCTION("IMPORTRANGE(""https://docs.google.com/spreadsheets/d/1IYY_tgx_IHuhSq3AJ5eI5OnqOPBNLWSHKh2a30DoXe8/edit?usp=sharing"",""ยะลา!J191"")"),0)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IFERROR(__xludf.DUMMYFUNCTION("IMPORTRANGE(""https://docs.google.com/spreadsheets/d/1IYY_tgx_IHuhSq3AJ5eI5OnqOPBNLWSHKh2a30DoXe8/edit?usp=sharing"",""ยะลา!J192"")"),0)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IFERROR(__xludf.DUMMYFUNCTION("IMPORTRANGE(""https://docs.google.com/spreadsheets/d/1IYY_tgx_IHuhSq3AJ5eI5OnqOPBNLWSHKh2a30DoXe8/edit?usp=sharing"",""ยะลา!J193"")"),0)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IFERROR(__xludf.DUMMYFUNCTION("IMPORTRANGE(""https://docs.google.com/spreadsheets/d/1IYY_tgx_IHuhSq3AJ5eI5OnqOPBNLWSHKh2a30DoXe8/edit?usp=sharing"",""ยะลา!J194"")"),0)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IFERROR(__xludf.DUMMYFUNCTION("IMPORTRANGE(""https://docs.google.com/spreadsheets/d/1IYY_tgx_IHuhSq3AJ5eI5OnqOPBNLWSHKh2a30DoXe8/edit?usp=sharing"",""ยะลา!I195"")"),0)</f>
        <v>0</v>
      </c>
      <c r="J285" s="195">
        <f ca="1">IFERROR(__xludf.DUMMYFUNCTION("IMPORTRANGE(""https://docs.google.com/spreadsheets/d/1IYY_tgx_IHuhSq3AJ5eI5OnqOPBNLWSHKh2a30DoXe8/edit?usp=sharing"",""ยะลา!J195"")"),0)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IFERROR(__xludf.DUMMYFUNCTION("IMPORTRANGE(""https://docs.google.com/spreadsheets/d/1IYY_tgx_IHuhSq3AJ5eI5OnqOPBNLWSHKh2a30DoXe8/edit?usp=sharing"",""ยะลา!J196"")"),0)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IFERROR(__xludf.DUMMYFUNCTION("IMPORTRANGE(""https://docs.google.com/spreadsheets/d/1IYY_tgx_IHuhSq3AJ5eI5OnqOPBNLWSHKh2a30DoXe8/edit?usp=sharing"",""ยะลา!J197"")"),0)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IFERROR(__xludf.DUMMYFUNCTION("IMPORTRANGE(""https://docs.google.com/spreadsheets/d/1IYY_tgx_IHuhSq3AJ5eI5OnqOPBNLWSHKh2a30DoXe8/edit?usp=sharing"",""ยะลา!I199"")"),0)</f>
        <v>0</v>
      </c>
      <c r="J289" s="322">
        <f ca="1">IFERROR(__xludf.DUMMYFUNCTION("IMPORTRANGE(""https://docs.google.com/spreadsheets/d/1IYY_tgx_IHuhSq3AJ5eI5OnqOPBNLWSHKh2a30DoXe8/edit?usp=sharing"",""ยะลา!J199"")"),0)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IFERROR(__xludf.DUMMYFUNCTION("IMPORTRANGE(""https://docs.google.com/spreadsheets/d/1Yj_ptqi66GCucihVvJfMjLAmec39IyEx_6qawtMGysU/edit?usp=sharing"",""สบก!CT90"")"),0)</f>
        <v>0</v>
      </c>
      <c r="N294" s="174">
        <f ca="1">IFERROR(__xludf.DUMMYFUNCTION("IMPORTRANGE(""https://docs.google.com/spreadsheets/d/1Yj_ptqi66GCucihVvJfMjLAmec39IyEx_6qawtMGysU/edit?usp=sharing"",""สบก!CU90"")"),0)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IFERROR(__xludf.DUMMYFUNCTION("IMPORTRANGE(""https://docs.google.com/spreadsheets/d/1Yj_ptqi66GCucihVvJfMjLAmec39IyEx_6qawtMGysU/edit?usp=sharing"",""สบก!CP90"")"),0)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IFERROR(__xludf.DUMMYFUNCTION("IMPORTRANGE(""https://docs.google.com/spreadsheets/d/1Yj_ptqi66GCucihVvJfMjLAmec39IyEx_6qawtMGysU/edit?usp=sharing"",""สบก!CQ90"")"),0)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IFERROR(__xludf.DUMMYFUNCTION("IMPORTRANGE(""https://docs.google.com/spreadsheets/d/1Yj_ptqi66GCucihVvJfMjLAmec39IyEx_6qawtMGysU/edit?usp=sharing"",""สบก!CR90"")"),0)</f>
        <v>0</v>
      </c>
      <c r="M298" s="101"/>
      <c r="N298" s="91">
        <f ca="1">IFERROR(__xludf.DUMMYFUNCTION("IMPORTRANGE(""https://docs.google.com/spreadsheets/d/1Yj_ptqi66GCucihVvJfMjLAmec39IyEx_6qawtMGysU/edit?usp=sharing"",""สบก!CV90"")"),0)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IFERROR(__xludf.DUMMYFUNCTION("IMPORTRANGE(""https://docs.google.com/spreadsheets/d/1IYY_tgx_IHuhSq3AJ5eI5OnqOPBNLWSHKh2a30DoXe8/edit?usp=sharing"",""ยะลา!J205"")"),0)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IFERROR(__xludf.DUMMYFUNCTION("IMPORTRANGE(""https://docs.google.com/spreadsheets/d/1IYY_tgx_IHuhSq3AJ5eI5OnqOPBNLWSHKh2a30DoXe8/edit?usp=sharing"",""ยะลา!J206"")"),0)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IFERROR(__xludf.DUMMYFUNCTION("IMPORTRANGE(""https://docs.google.com/spreadsheets/d/1IYY_tgx_IHuhSq3AJ5eI5OnqOPBNLWSHKh2a30DoXe8/edit?usp=sharing"",""ยะลา!J207"")"),0)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IFERROR(__xludf.DUMMYFUNCTION("IMPORTRANGE(""https://docs.google.com/spreadsheets/d/1IYY_tgx_IHuhSq3AJ5eI5OnqOPBNLWSHKh2a30DoXe8/edit?usp=sharing"",""ยะลา!J208"")"),0)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IFERROR(__xludf.DUMMYFUNCTION("IMPORTRANGE(""https://docs.google.com/spreadsheets/d/1IYY_tgx_IHuhSq3AJ5eI5OnqOPBNLWSHKh2a30DoXe8/edit?usp=sharing"",""ยะลา!I209"")"),0)</f>
        <v>0</v>
      </c>
      <c r="J304" s="210">
        <f ca="1">IFERROR(__xludf.DUMMYFUNCTION("IMPORTRANGE(""https://docs.google.com/spreadsheets/d/1IYY_tgx_IHuhSq3AJ5eI5OnqOPBNLWSHKh2a30DoXe8/edit?usp=sharing"",""ยะลา!J209"")"),0)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IFERROR(__xludf.DUMMYFUNCTION("IMPORTRANGE(""https://docs.google.com/spreadsheets/d/1IYY_tgx_IHuhSq3AJ5eI5OnqOPBNLWSHKh2a30DoXe8/edit?usp=sharing"",""ยะลา!I211"")"),0)</f>
        <v>0</v>
      </c>
      <c r="J306" s="210">
        <f ca="1">IFERROR(__xludf.DUMMYFUNCTION("IMPORTRANGE(""https://docs.google.com/spreadsheets/d/1IYY_tgx_IHuhSq3AJ5eI5OnqOPBNLWSHKh2a30DoXe8/edit?usp=sharing"",""ยะลา!J211"")"),0)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IFERROR(__xludf.DUMMYFUNCTION("IMPORTRANGE(""https://docs.google.com/spreadsheets/d/1IYY_tgx_IHuhSq3AJ5eI5OnqOPBNLWSHKh2a30DoXe8/edit?usp=sharing"",""ยะลา!J212"")"),0)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IFERROR(__xludf.DUMMYFUNCTION("IMPORTRANGE(""https://docs.google.com/spreadsheets/d/1IYY_tgx_IHuhSq3AJ5eI5OnqOPBNLWSHKh2a30DoXe8/edit?usp=sharing"",""ยะลา!J213"")"),0)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IFERROR(__xludf.DUMMYFUNCTION("IMPORTRANGE(""https://docs.google.com/spreadsheets/d/1IYY_tgx_IHuhSq3AJ5eI5OnqOPBNLWSHKh2a30DoXe8/edit?usp=sharing"",""ยะลา!I214"")"),0)</f>
        <v>0</v>
      </c>
      <c r="J309" s="339">
        <f ca="1">IFERROR(__xludf.DUMMYFUNCTION("IMPORTRANGE(""https://docs.google.com/spreadsheets/d/1IYY_tgx_IHuhSq3AJ5eI5OnqOPBNLWSHKh2a30DoXe8/edit?usp=sharing"",""ยะลา!J214"")"),0)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IFERROR(__xludf.DUMMYFUNCTION("IMPORTRANGE(""https://docs.google.com/spreadsheets/d/1Yj_ptqi66GCucihVvJfMjLAmec39IyEx_6qawtMGysU/edit?usp=sharing"",""สบก!DC90"")"),0)</f>
        <v>0</v>
      </c>
      <c r="N314" s="174">
        <f ca="1">IFERROR(__xludf.DUMMYFUNCTION("IMPORTRANGE(""https://docs.google.com/spreadsheets/d/1Yj_ptqi66GCucihVvJfMjLAmec39IyEx_6qawtMGysU/edit?usp=sharing"",""สบก!DD90"")"),0)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IFERROR(__xludf.DUMMYFUNCTION("IMPORTRANGE(""https://docs.google.com/spreadsheets/d/1Yj_ptqi66GCucihVvJfMjLAmec39IyEx_6qawtMGysU/edit?usp=sharing"",""สบก!CY90"")"),0)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IFERROR(__xludf.DUMMYFUNCTION("IMPORTRANGE(""https://docs.google.com/spreadsheets/d/1Yj_ptqi66GCucihVvJfMjLAmec39IyEx_6qawtMGysU/edit?usp=sharing"",""สบก!CZ90"")"),0)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IFERROR(__xludf.DUMMYFUNCTION("IMPORTRANGE(""https://docs.google.com/spreadsheets/d/1Yj_ptqi66GCucihVvJfMjLAmec39IyEx_6qawtMGysU/edit?usp=sharing"",""สบก!DA90"")"),0)</f>
        <v>0</v>
      </c>
      <c r="M318" s="101"/>
      <c r="N318" s="91">
        <f ca="1">IFERROR(__xludf.DUMMYFUNCTION("IMPORTRANGE(""https://docs.google.com/spreadsheets/d/1Yj_ptqi66GCucihVvJfMjLAmec39IyEx_6qawtMGysU/edit?usp=sharing"",""สบก!DE90"")"),0)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IFERROR(__xludf.DUMMYFUNCTION("IMPORTRANGE(""https://docs.google.com/spreadsheets/d/1IYY_tgx_IHuhSq3AJ5eI5OnqOPBNLWSHKh2a30DoXe8/edit?usp=sharing"",""ยะลา!J220"")"),0)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IFERROR(__xludf.DUMMYFUNCTION("IMPORTRANGE(""https://docs.google.com/spreadsheets/d/1IYY_tgx_IHuhSq3AJ5eI5OnqOPBNLWSHKh2a30DoXe8/edit?usp=sharing"",""ยะลา!J221"")"),0)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IFERROR(__xludf.DUMMYFUNCTION("IMPORTRANGE(""https://docs.google.com/spreadsheets/d/1IYY_tgx_IHuhSq3AJ5eI5OnqOPBNLWSHKh2a30DoXe8/edit?usp=sharing"",""ยะลา!J222"")"),0)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IFERROR(__xludf.DUMMYFUNCTION("IMPORTRANGE(""https://docs.google.com/spreadsheets/d/1IYY_tgx_IHuhSq3AJ5eI5OnqOPBNLWSHKh2a30DoXe8/edit?usp=sharing"",""ยะลา!J223"")"),0)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IFERROR(__xludf.DUMMYFUNCTION("IMPORTRANGE(""https://docs.google.com/spreadsheets/d/1IYY_tgx_IHuhSq3AJ5eI5OnqOPBNLWSHKh2a30DoXe8/edit?usp=sharing"",""ยะลา!I224"")"),0)</f>
        <v>0</v>
      </c>
      <c r="J324" s="210">
        <f ca="1">IFERROR(__xludf.DUMMYFUNCTION("IMPORTRANGE(""https://docs.google.com/spreadsheets/d/1IYY_tgx_IHuhSq3AJ5eI5OnqOPBNLWSHKh2a30DoXe8/edit?usp=sharing"",""ยะลา!J224"")"),0)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IFERROR(__xludf.DUMMYFUNCTION("IMPORTRANGE(""https://docs.google.com/spreadsheets/d/1IYY_tgx_IHuhSq3AJ5eI5OnqOPBNLWSHKh2a30DoXe8/edit?usp=sharing"",""ยะลา!J225"")"),0)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IFERROR(__xludf.DUMMYFUNCTION("IMPORTRANGE(""https://docs.google.com/spreadsheets/d/1IYY_tgx_IHuhSq3AJ5eI5OnqOPBNLWSHKh2a30DoXe8/edit?usp=sharing"",""ยะลา!J226"")"),0)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IFERROR(__xludf.DUMMYFUNCTION("IMPORTRANGE(""https://docs.google.com/spreadsheets/d/1IYY_tgx_IHuhSq3AJ5eI5OnqOPBNLWSHKh2a30DoXe8/edit?usp=sharing"",""ยะลา!I228"")"),100)</f>
        <v>100</v>
      </c>
      <c r="J328" s="345">
        <f ca="1">IFERROR(__xludf.DUMMYFUNCTION("IMPORTRANGE(""https://docs.google.com/spreadsheets/d/1IYY_tgx_IHuhSq3AJ5eI5OnqOPBNLWSHKh2a30DoXe8/edit?usp=sharing"",""ยะลา!J228"")"),66)</f>
        <v>66</v>
      </c>
      <c r="K328" s="323">
        <f ca="1">IF(I328&gt;0,J328*100/I328,0)</f>
        <v>66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1038050</v>
      </c>
      <c r="M329" s="156">
        <f t="shared" ca="1" si="98"/>
        <v>804090</v>
      </c>
      <c r="N329" s="156">
        <f t="shared" ca="1" si="98"/>
        <v>560067.31000000006</v>
      </c>
      <c r="O329" s="155">
        <f t="shared" ref="O329:O331" ca="1" si="99">IF(L329&gt;0,N329*100/L329,0)</f>
        <v>53.953789316506921</v>
      </c>
      <c r="P329" s="155">
        <f t="shared" ref="P329:P331" ca="1" si="100">IF(M329&gt;0,N329*100/M329,0)</f>
        <v>69.652316283003159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1038050</v>
      </c>
      <c r="M331" s="161">
        <f t="shared" ca="1" si="102"/>
        <v>804090</v>
      </c>
      <c r="N331" s="161">
        <f t="shared" ca="1" si="102"/>
        <v>560067.31000000006</v>
      </c>
      <c r="O331" s="160">
        <f t="shared" ca="1" si="99"/>
        <v>53.953789316506921</v>
      </c>
      <c r="P331" s="160">
        <f t="shared" ca="1" si="100"/>
        <v>69.652316283003159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891050</v>
      </c>
      <c r="M333" s="173">
        <f ca="1">IFERROR(__xludf.DUMMYFUNCTION("IMPORTRANGE(""https://docs.google.com/spreadsheets/d/1Yj_ptqi66GCucihVvJfMjLAmec39IyEx_6qawtMGysU/edit?usp=sharing"",""สบก!DL90"")"),657090)</f>
        <v>657090</v>
      </c>
      <c r="N333" s="174">
        <f ca="1">IFERROR(__xludf.DUMMYFUNCTION("IMPORTRANGE(""https://docs.google.com/spreadsheets/d/1Yj_ptqi66GCucihVvJfMjLAmec39IyEx_6qawtMGysU/edit?usp=sharing"",""สบก!DM90"")"),413067.31)</f>
        <v>413067.31</v>
      </c>
      <c r="O333" s="175">
        <f ca="1">IF(L333&gt;0,N333*100/L333,0)</f>
        <v>46.357366028842378</v>
      </c>
      <c r="P333" s="175">
        <f ca="1">IF(M333&gt;0,N333*100/M333,0)</f>
        <v>62.863125294860673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IFERROR(__xludf.DUMMYFUNCTION("IMPORTRANGE(""https://docs.google.com/spreadsheets/d/1Yj_ptqi66GCucihVvJfMjLAmec39IyEx_6qawtMGysU/edit?usp=sharing"",""สบก!DH90"")"),624000)</f>
        <v>624000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IFERROR(__xludf.DUMMYFUNCTION("IMPORTRANGE(""https://docs.google.com/spreadsheets/d/1Yj_ptqi66GCucihVvJfMjLAmec39IyEx_6qawtMGysU/edit?usp=sharing"",""สบก!DI90"")"),267050)</f>
        <v>267050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IFERROR(__xludf.DUMMYFUNCTION("IMPORTRANGE(""https://docs.google.com/spreadsheets/d/1Yj_ptqi66GCucihVvJfMjLAmec39IyEx_6qawtMGysU/edit?usp=sharing"",""สบก!DJ90"")"),147000)</f>
        <v>147000</v>
      </c>
      <c r="M337" s="101">
        <f ca="1">L337</f>
        <v>147000</v>
      </c>
      <c r="N337" s="91">
        <f ca="1">IFERROR(__xludf.DUMMYFUNCTION("IMPORTRANGE(""https://docs.google.com/spreadsheets/d/1Yj_ptqi66GCucihVvJfMjLAmec39IyEx_6qawtMGysU/edit?usp=sharing"",""สบก!DN90"")"),147000)</f>
        <v>147000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IFERROR(__xludf.DUMMYFUNCTION("IMPORTRANGE(""https://docs.google.com/spreadsheets/d/1IYY_tgx_IHuhSq3AJ5eI5OnqOPBNLWSHKh2a30DoXe8/edit?usp=sharing"",""ยะลา!I234"")"),0)</f>
        <v>0</v>
      </c>
      <c r="J339" s="194">
        <f ca="1">IFERROR(__xludf.DUMMYFUNCTION("IMPORTRANGE(""https://docs.google.com/spreadsheets/d/1IYY_tgx_IHuhSq3AJ5eI5OnqOPBNLWSHKh2a30DoXe8/edit?usp=sharing"",""ยะลา!J234"")"),84)</f>
        <v>84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IFERROR(__xludf.DUMMYFUNCTION("IMPORTRANGE(""https://docs.google.com/spreadsheets/d/1IYY_tgx_IHuhSq3AJ5eI5OnqOPBNLWSHKh2a30DoXe8/edit?usp=sharing"",""ยะลา!I235"")"),1040)</f>
        <v>1040</v>
      </c>
      <c r="J340" s="194">
        <f ca="1">IFERROR(__xludf.DUMMYFUNCTION("IMPORTRANGE(""https://docs.google.com/spreadsheets/d/1IYY_tgx_IHuhSq3AJ5eI5OnqOPBNLWSHKh2a30DoXe8/edit?usp=sharing"",""ยะลา!J235"")"),552.61)</f>
        <v>552.61</v>
      </c>
      <c r="K340" s="348">
        <f t="shared" ca="1" si="103"/>
        <v>53.135576923076925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IFERROR(__xludf.DUMMYFUNCTION("IMPORTRANGE(""https://docs.google.com/spreadsheets/d/1IYY_tgx_IHuhSq3AJ5eI5OnqOPBNLWSHKh2a30DoXe8/edit?usp=sharing"",""ยะลา!I236"")"),100)</f>
        <v>100</v>
      </c>
      <c r="J341" s="194">
        <f ca="1">IFERROR(__xludf.DUMMYFUNCTION("IMPORTRANGE(""https://docs.google.com/spreadsheets/d/1IYY_tgx_IHuhSq3AJ5eI5OnqOPBNLWSHKh2a30DoXe8/edit?usp=sharing"",""ยะลา!J236"")"),97)</f>
        <v>97</v>
      </c>
      <c r="K341" s="348">
        <f t="shared" ca="1" si="103"/>
        <v>97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IFERROR(__xludf.DUMMYFUNCTION("IMPORTRANGE(""https://docs.google.com/spreadsheets/d/1IYY_tgx_IHuhSq3AJ5eI5OnqOPBNLWSHKh2a30DoXe8/edit?usp=sharing"",""ยะลา!I237"")"),0)</f>
        <v>0</v>
      </c>
      <c r="J342" s="194">
        <f ca="1">IFERROR(__xludf.DUMMYFUNCTION("IMPORTRANGE(""https://docs.google.com/spreadsheets/d/1IYY_tgx_IHuhSq3AJ5eI5OnqOPBNLWSHKh2a30DoXe8/edit?usp=sharing"",""ยะลา!J237"")"),688.27)</f>
        <v>688.27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IFERROR(__xludf.DUMMYFUNCTION("IMPORTRANGE(""https://docs.google.com/spreadsheets/d/1IYY_tgx_IHuhSq3AJ5eI5OnqOPBNLWSHKh2a30DoXe8/edit?usp=sharing"",""ยะลา!I238"")"),100)</f>
        <v>100</v>
      </c>
      <c r="J343" s="194">
        <f ca="1">IFERROR(__xludf.DUMMYFUNCTION("IMPORTRANGE(""https://docs.google.com/spreadsheets/d/1IYY_tgx_IHuhSq3AJ5eI5OnqOPBNLWSHKh2a30DoXe8/edit?usp=sharing"",""ยะลา!J238"")"),0)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IFERROR(__xludf.DUMMYFUNCTION("IMPORTRANGE(""https://docs.google.com/spreadsheets/d/1IYY_tgx_IHuhSq3AJ5eI5OnqOPBNLWSHKh2a30DoXe8/edit?usp=sharing"",""ยะลา!I239"")"),0)</f>
        <v>0</v>
      </c>
      <c r="J344" s="194">
        <f ca="1">IFERROR(__xludf.DUMMYFUNCTION("IMPORTRANGE(""https://docs.google.com/spreadsheets/d/1IYY_tgx_IHuhSq3AJ5eI5OnqOPBNLWSHKh2a30DoXe8/edit?usp=sharing"",""ยะลา!J239"")"),0)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IFERROR(__xludf.DUMMYFUNCTION("IMPORTRANGE(""https://docs.google.com/spreadsheets/d/1IYY_tgx_IHuhSq3AJ5eI5OnqOPBNLWSHKh2a30DoXe8/edit?usp=sharing"",""ยะลา!I240"")"),100)</f>
        <v>100</v>
      </c>
      <c r="J345" s="194">
        <f ca="1">IFERROR(__xludf.DUMMYFUNCTION("IMPORTRANGE(""https://docs.google.com/spreadsheets/d/1IYY_tgx_IHuhSq3AJ5eI5OnqOPBNLWSHKh2a30DoXe8/edit?usp=sharing"",""ยะลา!J240"")"),66)</f>
        <v>66</v>
      </c>
      <c r="K345" s="348">
        <f t="shared" ca="1" si="103"/>
        <v>66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IFERROR(__xludf.DUMMYFUNCTION("IMPORTRANGE(""https://docs.google.com/spreadsheets/d/1IYY_tgx_IHuhSq3AJ5eI5OnqOPBNLWSHKh2a30DoXe8/edit?usp=sharing"",""ยะลา!I241"")"),0)</f>
        <v>0</v>
      </c>
      <c r="J346" s="194">
        <f ca="1">IFERROR(__xludf.DUMMYFUNCTION("IMPORTRANGE(""https://docs.google.com/spreadsheets/d/1IYY_tgx_IHuhSq3AJ5eI5OnqOPBNLWSHKh2a30DoXe8/edit?usp=sharing"",""ยะลา!J241"")"),531.56)</f>
        <v>531.55999999999995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IFERROR(__xludf.DUMMYFUNCTION("IMPORTRANGE(""https://docs.google.com/spreadsheets/d/1IYY_tgx_IHuhSq3AJ5eI5OnqOPBNLWSHKh2a30DoXe8/edit?usp=sharing"",""ยะลา!L242"")"),610666.9)</f>
        <v>610666.9</v>
      </c>
      <c r="M347" s="364"/>
      <c r="N347" s="364">
        <f ca="1">IFERROR(__xludf.DUMMYFUNCTION("IMPORTRANGE(""https://docs.google.com/spreadsheets/d/1IYY_tgx_IHuhSq3AJ5eI5OnqOPBNLWSHKh2a30DoXe8/edit?usp=sharing"",""ยะลา!M242"")"),387323.81)</f>
        <v>387323.81</v>
      </c>
      <c r="O347" s="364">
        <f ca="1">+IF(L347&gt;0,N347*100/L347,0)</f>
        <v>63.426363865472318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IFERROR(__xludf.DUMMYFUNCTION("IMPORTRANGE(""https://docs.google.com/spreadsheets/d/1IYY_tgx_IHuhSq3AJ5eI5OnqOPBNLWSHKh2a30DoXe8/edit?usp=sharing"",""ยะลา!I244"")"),0)</f>
        <v>0</v>
      </c>
      <c r="J349" s="377">
        <f ca="1">IFERROR(__xludf.DUMMYFUNCTION("IMPORTRANGE(""https://docs.google.com/spreadsheets/d/1IYY_tgx_IHuhSq3AJ5eI5OnqOPBNLWSHKh2a30DoXe8/edit?usp=sharing"",""ยะลา!J244"")"),0)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IFERROR(__xludf.DUMMYFUNCTION("IMPORTRANGE(""https://docs.google.com/spreadsheets/d/1IYY_tgx_IHuhSq3AJ5eI5OnqOPBNLWSHKh2a30DoXe8/edit?usp=sharing"",""ยะลา!L244"")"),0)</f>
        <v>0</v>
      </c>
      <c r="M349" s="379"/>
      <c r="N349" s="379">
        <f ca="1">IFERROR(__xludf.DUMMYFUNCTION("IMPORTRANGE(""https://docs.google.com/spreadsheets/d/1IYY_tgx_IHuhSq3AJ5eI5OnqOPBNLWSHKh2a30DoXe8/edit?usp=sharing"",""ยะลา!M244"")"),0)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IFERROR(__xludf.DUMMYFUNCTION("IMPORTRANGE(""https://docs.google.com/spreadsheets/d/1IYY_tgx_IHuhSq3AJ5eI5OnqOPBNLWSHKh2a30DoXe8/edit?usp=sharing"",""ยะลา!I245"")"),0)</f>
        <v>0</v>
      </c>
      <c r="J350" s="377">
        <f ca="1">IFERROR(__xludf.DUMMYFUNCTION("IMPORTRANGE(""https://docs.google.com/spreadsheets/d/1IYY_tgx_IHuhSq3AJ5eI5OnqOPBNLWSHKh2a30DoXe8/edit?usp=sharing"",""ยะลา!J245"")"),0)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IFERROR(__xludf.DUMMYFUNCTION("IMPORTRANGE(""https://docs.google.com/spreadsheets/d/1IYY_tgx_IHuhSq3AJ5eI5OnqOPBNLWSHKh2a30DoXe8/edit?usp=sharing"",""ยะลา!L246"")"),0)</f>
        <v>0</v>
      </c>
      <c r="M351" s="168"/>
      <c r="N351" s="168">
        <f ca="1">IFERROR(__xludf.DUMMYFUNCTION("IMPORTRANGE(""https://docs.google.com/spreadsheets/d/1IYY_tgx_IHuhSq3AJ5eI5OnqOPBNLWSHKh2a30DoXe8/edit?usp=sharing"",""ยะลา!M246"")"),0)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IFERROR(__xludf.DUMMYFUNCTION("IMPORTRANGE(""https://docs.google.com/spreadsheets/d/1IYY_tgx_IHuhSq3AJ5eI5OnqOPBNLWSHKh2a30DoXe8/edit?usp=sharing"",""ยะลา!L247"")"),0)</f>
        <v>0</v>
      </c>
      <c r="M352" s="169"/>
      <c r="N352" s="168">
        <f ca="1">IFERROR(__xludf.DUMMYFUNCTION("IMPORTRANGE(""https://docs.google.com/spreadsheets/d/1IYY_tgx_IHuhSq3AJ5eI5OnqOPBNLWSHKh2a30DoXe8/edit?usp=sharing"",""ยะลา!M247"")"),0)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IFERROR(__xludf.DUMMYFUNCTION("IMPORTRANGE(""https://docs.google.com/spreadsheets/d/1IYY_tgx_IHuhSq3AJ5eI5OnqOPBNLWSHKh2a30DoXe8/edit?usp=sharing"",""ยะลา!L248"")"),0)</f>
        <v>0</v>
      </c>
      <c r="M353" s="175"/>
      <c r="N353" s="175">
        <f ca="1">IFERROR(__xludf.DUMMYFUNCTION("IMPORTRANGE(""https://docs.google.com/spreadsheets/d/1IYY_tgx_IHuhSq3AJ5eI5OnqOPBNLWSHKh2a30DoXe8/edit?usp=sharing"",""ยะลา!M248"")"),0)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IFERROR(__xludf.DUMMYFUNCTION("IMPORTRANGE(""https://docs.google.com/spreadsheets/d/1IYY_tgx_IHuhSq3AJ5eI5OnqOPBNLWSHKh2a30DoXe8/edit?usp=sharing"",""ยะลา!L249"")"),0)</f>
        <v>0</v>
      </c>
      <c r="M354" s="175"/>
      <c r="N354" s="172">
        <f ca="1">IFERROR(__xludf.DUMMYFUNCTION("IMPORTRANGE(""https://docs.google.com/spreadsheets/d/1IYY_tgx_IHuhSq3AJ5eI5OnqOPBNLWSHKh2a30DoXe8/edit?usp=sharing"",""ยะลา!M249"")"),0)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IFERROR(__xludf.DUMMYFUNCTION("IMPORTRANGE(""https://docs.google.com/spreadsheets/d/1IYY_tgx_IHuhSq3AJ5eI5OnqOPBNLWSHKh2a30DoXe8/edit?usp=sharing"",""ยะลา!M250"")"),0)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IFERROR(__xludf.DUMMYFUNCTION("IMPORTRANGE(""https://docs.google.com/spreadsheets/d/1IYY_tgx_IHuhSq3AJ5eI5OnqOPBNLWSHKh2a30DoXe8/edit?usp=sharing"",""ยะลา!M251"")"),0)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IFERROR(__xludf.DUMMYFUNCTION("IMPORTRANGE(""https://docs.google.com/spreadsheets/d/1IYY_tgx_IHuhSq3AJ5eI5OnqOPBNLWSHKh2a30DoXe8/edit?usp=sharing"",""ยะลา!M252"")"),0)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IFERROR(__xludf.DUMMYFUNCTION("IMPORTRANGE(""https://docs.google.com/spreadsheets/d/1IYY_tgx_IHuhSq3AJ5eI5OnqOPBNLWSHKh2a30DoXe8/edit?usp=sharing"",""ยะลา!M253"")"),0)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IFERROR(__xludf.DUMMYFUNCTION("IMPORTRANGE(""https://docs.google.com/spreadsheets/d/1IYY_tgx_IHuhSq3AJ5eI5OnqOPBNLWSHKh2a30DoXe8/edit?usp=sharing"",""ยะลา!J255"")"),0)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IFERROR(__xludf.DUMMYFUNCTION("IMPORTRANGE(""https://docs.google.com/spreadsheets/d/1IYY_tgx_IHuhSq3AJ5eI5OnqOPBNLWSHKh2a30DoXe8/edit?usp=sharing"",""ยะลา!J256"")"),0)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IFERROR(__xludf.DUMMYFUNCTION("IMPORTRANGE(""https://docs.google.com/spreadsheets/d/1IYY_tgx_IHuhSq3AJ5eI5OnqOPBNLWSHKh2a30DoXe8/edit?usp=sharing"",""ยะลา!J257"")"),0)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IFERROR(__xludf.DUMMYFUNCTION("IMPORTRANGE(""https://docs.google.com/spreadsheets/d/1IYY_tgx_IHuhSq3AJ5eI5OnqOPBNLWSHKh2a30DoXe8/edit?usp=sharing"",""ยะลา!J258"")"),0)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IFERROR(__xludf.DUMMYFUNCTION("IMPORTRANGE(""https://docs.google.com/spreadsheets/d/1IYY_tgx_IHuhSq3AJ5eI5OnqOPBNLWSHKh2a30DoXe8/edit?usp=sharing"",""ยะลา!J166"")"),0)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IFERROR(__xludf.DUMMYFUNCTION("IMPORTRANGE(""https://docs.google.com/spreadsheets/d/1IYY_tgx_IHuhSq3AJ5eI5OnqOPBNLWSHKh2a30DoXe8/edit?usp=sharing"",""ยะลา!J166"")"),0)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IFERROR(__xludf.DUMMYFUNCTION("IMPORTRANGE(""https://docs.google.com/spreadsheets/d/1IYY_tgx_IHuhSq3AJ5eI5OnqOPBNLWSHKh2a30DoXe8/edit?usp=sharing"",""ยะลา!J166"")"),0)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IFERROR(__xludf.DUMMYFUNCTION("IMPORTRANGE(""https://docs.google.com/spreadsheets/d/1IYY_tgx_IHuhSq3AJ5eI5OnqOPBNLWSHKh2a30DoXe8/edit?usp=sharing"",""ยะลา!J166"")"),0)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IFERROR(__xludf.DUMMYFUNCTION("IMPORTRANGE(""https://docs.google.com/spreadsheets/d/1IYY_tgx_IHuhSq3AJ5eI5OnqOPBNLWSHKh2a30DoXe8/edit?usp=sharing"",""ยะลา!I263"")"),0)</f>
        <v>0</v>
      </c>
      <c r="J368" s="194">
        <f ca="1">IFERROR(__xludf.DUMMYFUNCTION("IMPORTRANGE(""https://docs.google.com/spreadsheets/d/1IYY_tgx_IHuhSq3AJ5eI5OnqOPBNLWSHKh2a30DoXe8/edit?usp=sharing"",""ยะลา!J263"")"),0)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IFERROR(__xludf.DUMMYFUNCTION("IMPORTRANGE(""https://docs.google.com/spreadsheets/d/1IYY_tgx_IHuhSq3AJ5eI5OnqOPBNLWSHKh2a30DoXe8/edit?usp=sharing"",""ยะลา!I164"")"),0)</f>
        <v>0</v>
      </c>
      <c r="J369" s="210">
        <f ca="1">IFERROR(__xludf.DUMMYFUNCTION("IMPORTRANGE(""https://docs.google.com/spreadsheets/d/1IYY_tgx_IHuhSq3AJ5eI5OnqOPBNLWSHKh2a30DoXe8/edit?usp=sharing"",""ยะลา!J164"")"),0)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IFERROR(__xludf.DUMMYFUNCTION("IMPORTRANGE(""https://docs.google.com/spreadsheets/d/1IYY_tgx_IHuhSq3AJ5eI5OnqOPBNLWSHKh2a30DoXe8/edit?usp=sharing"",""ยะลา!I265"")"),0)</f>
        <v>0</v>
      </c>
      <c r="J370" s="210">
        <f ca="1">IFERROR(__xludf.DUMMYFUNCTION("IMPORTRANGE(""https://docs.google.com/spreadsheets/d/1IYY_tgx_IHuhSq3AJ5eI5OnqOPBNLWSHKh2a30DoXe8/edit?usp=sharing"",""ยะลา!J265"")"),0)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IFERROR(__xludf.DUMMYFUNCTION("IMPORTRANGE(""https://docs.google.com/spreadsheets/d/1IYY_tgx_IHuhSq3AJ5eI5OnqOPBNLWSHKh2a30DoXe8/edit?usp=sharing"",""ยะลา!I164"")"),0)</f>
        <v>0</v>
      </c>
      <c r="J371" s="195">
        <f ca="1">IFERROR(__xludf.DUMMYFUNCTION("IMPORTRANGE(""https://docs.google.com/spreadsheets/d/1IYY_tgx_IHuhSq3AJ5eI5OnqOPBNLWSHKh2a30DoXe8/edit?usp=sharing"",""ยะลา!J164"")"),0)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IFERROR(__xludf.DUMMYFUNCTION("IMPORTRANGE(""https://docs.google.com/spreadsheets/d/1IYY_tgx_IHuhSq3AJ5eI5OnqOPBNLWSHKh2a30DoXe8/edit?usp=sharing"",""ยะลา!I267"")"),0)</f>
        <v>0</v>
      </c>
      <c r="J372" s="195">
        <f ca="1">IFERROR(__xludf.DUMMYFUNCTION("IMPORTRANGE(""https://docs.google.com/spreadsheets/d/1IYY_tgx_IHuhSq3AJ5eI5OnqOPBNLWSHKh2a30DoXe8/edit?usp=sharing"",""ยะลา!J267"")"),0)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IFERROR(__xludf.DUMMYFUNCTION("IMPORTRANGE(""https://docs.google.com/spreadsheets/d/1IYY_tgx_IHuhSq3AJ5eI5OnqOPBNLWSHKh2a30DoXe8/edit?usp=sharing"",""ยะลา!I164"")"),0)</f>
        <v>0</v>
      </c>
      <c r="J373" s="210">
        <f ca="1">IFERROR(__xludf.DUMMYFUNCTION("IMPORTRANGE(""https://docs.google.com/spreadsheets/d/1IYY_tgx_IHuhSq3AJ5eI5OnqOPBNLWSHKh2a30DoXe8/edit?usp=sharing"",""ยะลา!J164"")"),0)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IFERROR(__xludf.DUMMYFUNCTION("IMPORTRANGE(""https://docs.google.com/spreadsheets/d/1IYY_tgx_IHuhSq3AJ5eI5OnqOPBNLWSHKh2a30DoXe8/edit?usp=sharing"",""ยะลา!I164"")"),0)</f>
        <v>0</v>
      </c>
      <c r="J374" s="194">
        <f ca="1">IFERROR(__xludf.DUMMYFUNCTION("IMPORTRANGE(""https://docs.google.com/spreadsheets/d/1IYY_tgx_IHuhSq3AJ5eI5OnqOPBNLWSHKh2a30DoXe8/edit?usp=sharing"",""ยะลา!J164"")"),0)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IFERROR(__xludf.DUMMYFUNCTION("IMPORTRANGE(""https://docs.google.com/spreadsheets/d/1IYY_tgx_IHuhSq3AJ5eI5OnqOPBNLWSHKh2a30DoXe8/edit?usp=sharing"",""ยะลา!I270"")"),0)</f>
        <v>0</v>
      </c>
      <c r="J375" s="194">
        <f ca="1">IFERROR(__xludf.DUMMYFUNCTION("IMPORTRANGE(""https://docs.google.com/spreadsheets/d/1IYY_tgx_IHuhSq3AJ5eI5OnqOPBNLWSHKh2a30DoXe8/edit?usp=sharing"",""ยะลา!J270"")"),0)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IFERROR(__xludf.DUMMYFUNCTION("IMPORTRANGE(""https://docs.google.com/spreadsheets/d/1IYY_tgx_IHuhSq3AJ5eI5OnqOPBNLWSHKh2a30DoXe8/edit?usp=sharing"",""ยะลา!I271"")"),0)</f>
        <v>0</v>
      </c>
      <c r="J376" s="195">
        <f ca="1">IFERROR(__xludf.DUMMYFUNCTION("IMPORTRANGE(""https://docs.google.com/spreadsheets/d/1IYY_tgx_IHuhSq3AJ5eI5OnqOPBNLWSHKh2a30DoXe8/edit?usp=sharing"",""ยะลา!J271"")"),0)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IFERROR(__xludf.DUMMYFUNCTION("IMPORTRANGE(""https://docs.google.com/spreadsheets/d/1IYY_tgx_IHuhSq3AJ5eI5OnqOPBNLWSHKh2a30DoXe8/edit?usp=sharing"",""ยะลา!I272"")"),0)</f>
        <v>0</v>
      </c>
      <c r="J377" s="210">
        <f ca="1">IFERROR(__xludf.DUMMYFUNCTION("IMPORTRANGE(""https://docs.google.com/spreadsheets/d/1IYY_tgx_IHuhSq3AJ5eI5OnqOPBNLWSHKh2a30DoXe8/edit?usp=sharing"",""ยะลา!J272"")"),0)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IFERROR(__xludf.DUMMYFUNCTION("IMPORTRANGE(""https://docs.google.com/spreadsheets/d/1IYY_tgx_IHuhSq3AJ5eI5OnqOPBNLWSHKh2a30DoXe8/edit?usp=sharing"",""ยะลา!J273"")"),0)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IFERROR(__xludf.DUMMYFUNCTION("IMPORTRANGE(""https://docs.google.com/spreadsheets/d/1IYY_tgx_IHuhSq3AJ5eI5OnqOPBNLWSHKh2a30DoXe8/edit?usp=sharing"",""ยะลา!J274"")"),0)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IFERROR(__xludf.DUMMYFUNCTION("IMPORTRANGE(""https://docs.google.com/spreadsheets/d/1IYY_tgx_IHuhSq3AJ5eI5OnqOPBNLWSHKh2a30DoXe8/edit?usp=sharing"",""ยะลา!I275"")"),150)</f>
        <v>150</v>
      </c>
      <c r="J380" s="377">
        <f ca="1">IFERROR(__xludf.DUMMYFUNCTION("IMPORTRANGE(""https://docs.google.com/spreadsheets/d/1IYY_tgx_IHuhSq3AJ5eI5OnqOPBNLWSHKh2a30DoXe8/edit?usp=sharing"",""ยะลา!J275"")"),150)</f>
        <v>150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IFERROR(__xludf.DUMMYFUNCTION("IMPORTRANGE(""https://docs.google.com/spreadsheets/d/1IYY_tgx_IHuhSq3AJ5eI5OnqOPBNLWSHKh2a30DoXe8/edit?usp=sharing"",""ยะลา!L275"")"),167610)</f>
        <v>167610</v>
      </c>
      <c r="M380" s="379"/>
      <c r="N380" s="379">
        <f ca="1">IFERROR(__xludf.DUMMYFUNCTION("IMPORTRANGE(""https://docs.google.com/spreadsheets/d/1IYY_tgx_IHuhSq3AJ5eI5OnqOPBNLWSHKh2a30DoXe8/edit?usp=sharing"",""ยะลา!M275"")"),146920)</f>
        <v>146920</v>
      </c>
      <c r="O380" s="379">
        <f ca="1">+IF(L380&gt;0,N380*100/L380,0)</f>
        <v>87.655867788318119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IFERROR(__xludf.DUMMYFUNCTION("IMPORTRANGE(""https://docs.google.com/spreadsheets/d/1IYY_tgx_IHuhSq3AJ5eI5OnqOPBNLWSHKh2a30DoXe8/edit?usp=sharing"",""ยะลา!I276"")"),15)</f>
        <v>15</v>
      </c>
      <c r="J381" s="377">
        <f ca="1">IFERROR(__xludf.DUMMYFUNCTION("IMPORTRANGE(""https://docs.google.com/spreadsheets/d/1IYY_tgx_IHuhSq3AJ5eI5OnqOPBNLWSHKh2a30DoXe8/edit?usp=sharing"",""ยะลา!J276"")"),15)</f>
        <v>15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IFERROR(__xludf.DUMMYFUNCTION("IMPORTRANGE(""https://docs.google.com/spreadsheets/d/1IYY_tgx_IHuhSq3AJ5eI5OnqOPBNLWSHKh2a30DoXe8/edit?usp=sharing"",""ยะลา!L277"")"),0)</f>
        <v>0</v>
      </c>
      <c r="M382" s="168"/>
      <c r="N382" s="168">
        <f ca="1">IFERROR(__xludf.DUMMYFUNCTION("IMPORTRANGE(""https://docs.google.com/spreadsheets/d/1IYY_tgx_IHuhSq3AJ5eI5OnqOPBNLWSHKh2a30DoXe8/edit?usp=sharing"",""ยะลา!M277"")"),0)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IFERROR(__xludf.DUMMYFUNCTION("IMPORTRANGE(""https://docs.google.com/spreadsheets/d/1IYY_tgx_IHuhSq3AJ5eI5OnqOPBNLWSHKh2a30DoXe8/edit?usp=sharing"",""ยะลา!L278"")"),167610)</f>
        <v>167610</v>
      </c>
      <c r="M383" s="169"/>
      <c r="N383" s="169">
        <f ca="1">IFERROR(__xludf.DUMMYFUNCTION("IMPORTRANGE(""https://docs.google.com/spreadsheets/d/1IYY_tgx_IHuhSq3AJ5eI5OnqOPBNLWSHKh2a30DoXe8/edit?usp=sharing"",""ยะลา!M278"")"),146920)</f>
        <v>146920</v>
      </c>
      <c r="O383" s="169">
        <f t="shared" ca="1" si="109"/>
        <v>87.655867788318119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IFERROR(__xludf.DUMMYFUNCTION("IMPORTRANGE(""https://docs.google.com/spreadsheets/d/1IYY_tgx_IHuhSq3AJ5eI5OnqOPBNLWSHKh2a30DoXe8/edit?usp=sharing"",""ยะลา!L279"")"),0)</f>
        <v>0</v>
      </c>
      <c r="M384" s="175"/>
      <c r="N384" s="175">
        <f ca="1">IFERROR(__xludf.DUMMYFUNCTION("IMPORTRANGE(""https://docs.google.com/spreadsheets/d/1IYY_tgx_IHuhSq3AJ5eI5OnqOPBNLWSHKh2a30DoXe8/edit?usp=sharing"",""ยะลา!M279"")"),0)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IFERROR(__xludf.DUMMYFUNCTION("IMPORTRANGE(""https://docs.google.com/spreadsheets/d/1IYY_tgx_IHuhSq3AJ5eI5OnqOPBNLWSHKh2a30DoXe8/edit?usp=sharing"",""ยะลา!L280"")"),167610)</f>
        <v>167610</v>
      </c>
      <c r="M385" s="175"/>
      <c r="N385" s="172">
        <f ca="1">IFERROR(__xludf.DUMMYFUNCTION("IMPORTRANGE(""https://docs.google.com/spreadsheets/d/1IYY_tgx_IHuhSq3AJ5eI5OnqOPBNLWSHKh2a30DoXe8/edit?usp=sharing"",""ยะลา!M280"")"),146920)</f>
        <v>146920</v>
      </c>
      <c r="O385" s="175">
        <f t="shared" ca="1" si="109"/>
        <v>87.655867788318119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IFERROR(__xludf.DUMMYFUNCTION("IMPORTRANGE(""https://docs.google.com/spreadsheets/d/1IYY_tgx_IHuhSq3AJ5eI5OnqOPBNLWSHKh2a30DoXe8/edit?usp=sharing"",""ยะลา!M281"")"),45080)</f>
        <v>45080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IFERROR(__xludf.DUMMYFUNCTION("IMPORTRANGE(""https://docs.google.com/spreadsheets/d/1IYY_tgx_IHuhSq3AJ5eI5OnqOPBNLWSHKh2a30DoXe8/edit?usp=sharing"",""ยะลา!M282"")"),88600)</f>
        <v>88600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IFERROR(__xludf.DUMMYFUNCTION("IMPORTRANGE(""https://docs.google.com/spreadsheets/d/1IYY_tgx_IHuhSq3AJ5eI5OnqOPBNLWSHKh2a30DoXe8/edit?usp=sharing"",""ยะลา!M283"")"),0)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IFERROR(__xludf.DUMMYFUNCTION("IMPORTRANGE(""https://docs.google.com/spreadsheets/d/1IYY_tgx_IHuhSq3AJ5eI5OnqOPBNLWSHKh2a30DoXe8/edit?usp=sharing"",""ยะลา!M284"")"),13240)</f>
        <v>13240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IFERROR(__xludf.DUMMYFUNCTION("IMPORTRANGE(""https://docs.google.com/spreadsheets/d/1IYY_tgx_IHuhSq3AJ5eI5OnqOPBNLWSHKh2a30DoXe8/edit?usp=sharing"",""ยะลา!J286"")"),0)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IFERROR(__xludf.DUMMYFUNCTION("IMPORTRANGE(""https://docs.google.com/spreadsheets/d/1IYY_tgx_IHuhSq3AJ5eI5OnqOPBNLWSHKh2a30DoXe8/edit?usp=sharing"",""ยะลา!J287"")"),1)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IFERROR(__xludf.DUMMYFUNCTION("IMPORTRANGE(""https://docs.google.com/spreadsheets/d/1IYY_tgx_IHuhSq3AJ5eI5OnqOPBNLWSHKh2a30DoXe8/edit?usp=sharing"",""ยะลา!J288"")"),1)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IFERROR(__xludf.DUMMYFUNCTION("IMPORTRANGE(""https://docs.google.com/spreadsheets/d/1IYY_tgx_IHuhSq3AJ5eI5OnqOPBNLWSHKh2a30DoXe8/edit?usp=sharing"",""ยะลา!J289"")"),1)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IFERROR(__xludf.DUMMYFUNCTION("IMPORTRANGE(""https://docs.google.com/spreadsheets/d/1IYY_tgx_IHuhSq3AJ5eI5OnqOPBNLWSHKh2a30DoXe8/edit?usp=sharing"",""ยะลา!I291"")"),15)</f>
        <v>15</v>
      </c>
      <c r="J396" s="204">
        <f ca="1">IFERROR(__xludf.DUMMYFUNCTION("IMPORTRANGE(""https://docs.google.com/spreadsheets/d/1IYY_tgx_IHuhSq3AJ5eI5OnqOPBNLWSHKh2a30DoXe8/edit?usp=sharing"",""ยะลา!J291"")"),15)</f>
        <v>15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IFERROR(__xludf.DUMMYFUNCTION("IMPORTRANGE(""https://docs.google.com/spreadsheets/d/1IYY_tgx_IHuhSq3AJ5eI5OnqOPBNLWSHKh2a30DoXe8/edit?usp=sharing"",""ยะลา!I292"")"),150)</f>
        <v>150</v>
      </c>
      <c r="J397" s="204">
        <f ca="1">IFERROR(__xludf.DUMMYFUNCTION("IMPORTRANGE(""https://docs.google.com/spreadsheets/d/1IYY_tgx_IHuhSq3AJ5eI5OnqOPBNLWSHKh2a30DoXe8/edit?usp=sharing"",""ยะลา!J292"")"),150)</f>
        <v>150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IFERROR(__xludf.DUMMYFUNCTION("IMPORTRANGE(""https://docs.google.com/spreadsheets/d/1IYY_tgx_IHuhSq3AJ5eI5OnqOPBNLWSHKh2a30DoXe8/edit?usp=sharing"",""ยะลา!I293"")"),15)</f>
        <v>15</v>
      </c>
      <c r="J398" s="204">
        <f ca="1">IFERROR(__xludf.DUMMYFUNCTION("IMPORTRANGE(""https://docs.google.com/spreadsheets/d/1IYY_tgx_IHuhSq3AJ5eI5OnqOPBNLWSHKh2a30DoXe8/edit?usp=sharing"",""ยะลา!J293"")"),15)</f>
        <v>15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IFERROR(__xludf.DUMMYFUNCTION("IMPORTRANGE(""https://docs.google.com/spreadsheets/d/1IYY_tgx_IHuhSq3AJ5eI5OnqOPBNLWSHKh2a30DoXe8/edit?usp=sharing"",""ยะลา!J294"")"),0)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IFERROR(__xludf.DUMMYFUNCTION("IMPORTRANGE(""https://docs.google.com/spreadsheets/d/1IYY_tgx_IHuhSq3AJ5eI5OnqOPBNLWSHKh2a30DoXe8/edit?usp=sharing"",""ยะลา!J295"")"),0)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IFERROR(__xludf.DUMMYFUNCTION("IMPORTRANGE(""https://docs.google.com/spreadsheets/d/1IYY_tgx_IHuhSq3AJ5eI5OnqOPBNLWSHKh2a30DoXe8/edit?usp=sharing"",""ยะลา!I296"")"),105)</f>
        <v>105</v>
      </c>
      <c r="J401" s="377">
        <f ca="1">IFERROR(__xludf.DUMMYFUNCTION("IMPORTRANGE(""https://docs.google.com/spreadsheets/d/1IYY_tgx_IHuhSq3AJ5eI5OnqOPBNLWSHKh2a30DoXe8/edit?usp=sharing"",""ยะลา!J296"")"),105)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IFERROR(__xludf.DUMMYFUNCTION("IMPORTRANGE(""https://docs.google.com/spreadsheets/d/1IYY_tgx_IHuhSq3AJ5eI5OnqOPBNLWSHKh2a30DoXe8/edit?usp=sharing"",""ยะลา!L296"")"),131710)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IFERROR(__xludf.DUMMYFUNCTION("IMPORTRANGE(""https://docs.google.com/spreadsheets/d/1IYY_tgx_IHuhSq3AJ5eI5OnqOPBNLWSHKh2a30DoXe8/edit?usp=sharing"",""ยะลา!M296"")"),78350)</f>
        <v>78350</v>
      </c>
      <c r="O401" s="379">
        <f ca="1">+IF(L401&gt;0,N401*100/L401,0)</f>
        <v>59.486751195808971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IFERROR(__xludf.DUMMYFUNCTION("IMPORTRANGE(""https://docs.google.com/spreadsheets/d/1IYY_tgx_IHuhSq3AJ5eI5OnqOPBNLWSHKh2a30DoXe8/edit?usp=sharing"",""ยะลา!I297"")"),35)</f>
        <v>35</v>
      </c>
      <c r="J402" s="377">
        <f ca="1">IFERROR(__xludf.DUMMYFUNCTION("IMPORTRANGE(""https://docs.google.com/spreadsheets/d/1IYY_tgx_IHuhSq3AJ5eI5OnqOPBNLWSHKh2a30DoXe8/edit?usp=sharing"",""ยะลา!J297"")"),35)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IFERROR(__xludf.DUMMYFUNCTION("IMPORTRANGE(""https://docs.google.com/spreadsheets/d/1IYY_tgx_IHuhSq3AJ5eI5OnqOPBNLWSHKh2a30DoXe8/edit?usp=sharing"",""ยะลา!L298"")"),0)</f>
        <v>0</v>
      </c>
      <c r="M403" s="168"/>
      <c r="N403" s="175">
        <f ca="1">IFERROR(__xludf.DUMMYFUNCTION("IMPORTRANGE(""https://docs.google.com/spreadsheets/d/1IYY_tgx_IHuhSq3AJ5eI5OnqOPBNLWSHKh2a30DoXe8/edit?usp=sharing"",""ยะลา!M298"")"),0)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IFERROR(__xludf.DUMMYFUNCTION("IMPORTRANGE(""https://docs.google.com/spreadsheets/d/1IYY_tgx_IHuhSq3AJ5eI5OnqOPBNLWSHKh2a30DoXe8/edit?usp=sharing"",""ยะลา!L299"")"),131710)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IFERROR(__xludf.DUMMYFUNCTION("IMPORTRANGE(""https://docs.google.com/spreadsheets/d/1IYY_tgx_IHuhSq3AJ5eI5OnqOPBNLWSHKh2a30DoXe8/edit?usp=sharing"",""ยะลา!M299"")"),78350)</f>
        <v>78350</v>
      </c>
      <c r="O404" s="175">
        <f t="shared" ca="1" si="112"/>
        <v>59.486751195808971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IFERROR(__xludf.DUMMYFUNCTION("IMPORTRANGE(""https://docs.google.com/spreadsheets/d/1IYY_tgx_IHuhSq3AJ5eI5OnqOPBNLWSHKh2a30DoXe8/edit?usp=sharing"",""ยะลา!L300"")"),0)</f>
        <v>0</v>
      </c>
      <c r="M405" s="175"/>
      <c r="N405" s="175">
        <f ca="1">IFERROR(__xludf.DUMMYFUNCTION("IMPORTRANGE(""https://docs.google.com/spreadsheets/d/1IYY_tgx_IHuhSq3AJ5eI5OnqOPBNLWSHKh2a30DoXe8/edit?usp=sharing"",""ยะลา!M300"")"),0)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IFERROR(__xludf.DUMMYFUNCTION("IMPORTRANGE(""https://docs.google.com/spreadsheets/d/1IYY_tgx_IHuhSq3AJ5eI5OnqOPBNLWSHKh2a30DoXe8/edit?usp=sharing"",""ยะลา!L301"")"),131710)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IFERROR(__xludf.DUMMYFUNCTION("IMPORTRANGE(""https://docs.google.com/spreadsheets/d/1IYY_tgx_IHuhSq3AJ5eI5OnqOPBNLWSHKh2a30DoXe8/edit?usp=sharing"",""ยะลา!M301"")"),78350)</f>
        <v>78350</v>
      </c>
      <c r="O406" s="175">
        <f t="shared" ca="1" si="112"/>
        <v>59.486751195808971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IFERROR(__xludf.DUMMYFUNCTION("IMPORTRANGE(""https://docs.google.com/spreadsheets/d/1IYY_tgx_IHuhSq3AJ5eI5OnqOPBNLWSHKh2a30DoXe8/edit?usp=sharing"",""ยะลา!M302"")"),67780)</f>
        <v>67780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IFERROR(__xludf.DUMMYFUNCTION("IMPORTRANGE(""https://docs.google.com/spreadsheets/d/1IYY_tgx_IHuhSq3AJ5eI5OnqOPBNLWSHKh2a30DoXe8/edit?usp=sharing"",""ยะลา!M303"")"),0)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IFERROR(__xludf.DUMMYFUNCTION("IMPORTRANGE(""https://docs.google.com/spreadsheets/d/1IYY_tgx_IHuhSq3AJ5eI5OnqOPBNLWSHKh2a30DoXe8/edit?usp=sharing"",""ยะลา!M304"")"),0)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IFERROR(__xludf.DUMMYFUNCTION("IMPORTRANGE(""https://docs.google.com/spreadsheets/d/1IYY_tgx_IHuhSq3AJ5eI5OnqOPBNLWSHKh2a30DoXe8/edit?usp=sharing"",""ยะลา!M305"")"),10570)</f>
        <v>10570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IFERROR(__xludf.DUMMYFUNCTION("IMPORTRANGE(""https://docs.google.com/spreadsheets/d/1IYY_tgx_IHuhSq3AJ5eI5OnqOPBNLWSHKh2a30DoXe8/edit?usp=sharing"",""ยะลา!J307"")"),0)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IFERROR(__xludf.DUMMYFUNCTION("IMPORTRANGE(""https://docs.google.com/spreadsheets/d/1IYY_tgx_IHuhSq3AJ5eI5OnqOPBNLWSHKh2a30DoXe8/edit?usp=sharing"",""ยะลา!J308"")"),1)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IFERROR(__xludf.DUMMYFUNCTION("IMPORTRANGE(""https://docs.google.com/spreadsheets/d/1IYY_tgx_IHuhSq3AJ5eI5OnqOPBNLWSHKh2a30DoXe8/edit?usp=sharing"",""ยะลา!J309"")"),1)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IFERROR(__xludf.DUMMYFUNCTION("IMPORTRANGE(""https://docs.google.com/spreadsheets/d/1IYY_tgx_IHuhSq3AJ5eI5OnqOPBNLWSHKh2a30DoXe8/edit?usp=sharing"",""ยะลา!J310"")"),1)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IFERROR(__xludf.DUMMYFUNCTION("IMPORTRANGE(""https://docs.google.com/spreadsheets/d/1IYY_tgx_IHuhSq3AJ5eI5OnqOPBNLWSHKh2a30DoXe8/edit?usp=sharing"",""ยะลา!I311"")"),35)</f>
        <v>35</v>
      </c>
      <c r="J416" s="207">
        <f ca="1">IFERROR(__xludf.DUMMYFUNCTION("IMPORTRANGE(""https://docs.google.com/spreadsheets/d/1IYY_tgx_IHuhSq3AJ5eI5OnqOPBNLWSHKh2a30DoXe8/edit?usp=sharing"",""ยะลา!J311"")"),35)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IFERROR(__xludf.DUMMYFUNCTION("IMPORTRANGE(""https://docs.google.com/spreadsheets/d/1IYY_tgx_IHuhSq3AJ5eI5OnqOPBNLWSHKh2a30DoXe8/edit?usp=sharing"",""ยะลา!I312"")"),10)</f>
        <v>10</v>
      </c>
      <c r="J417" s="398">
        <f ca="1">IFERROR(__xludf.DUMMYFUNCTION("IMPORTRANGE(""https://docs.google.com/spreadsheets/d/1IYY_tgx_IHuhSq3AJ5eI5OnqOPBNLWSHKh2a30DoXe8/edit?usp=sharing"",""ยะลา!J312"")"),10)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IFERROR(__xludf.DUMMYFUNCTION("IMPORTRANGE(""https://docs.google.com/spreadsheets/d/1IYY_tgx_IHuhSq3AJ5eI5OnqOPBNLWSHKh2a30DoXe8/edit?usp=sharing"",""ยะลา!I313"")"),30)</f>
        <v>30</v>
      </c>
      <c r="J418" s="399">
        <f ca="1">IFERROR(__xludf.DUMMYFUNCTION("IMPORTRANGE(""https://docs.google.com/spreadsheets/d/1IYY_tgx_IHuhSq3AJ5eI5OnqOPBNLWSHKh2a30DoXe8/edit?usp=sharing"",""ยะลา!J313"")"),30)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IFERROR(__xludf.DUMMYFUNCTION("IMPORTRANGE(""https://docs.google.com/spreadsheets/d/1IYY_tgx_IHuhSq3AJ5eI5OnqOPBNLWSHKh2a30DoXe8/edit?usp=sharing"",""ยะลา!I314"")"),10)</f>
        <v>10</v>
      </c>
      <c r="J419" s="400">
        <f ca="1">IFERROR(__xludf.DUMMYFUNCTION("IMPORTRANGE(""https://docs.google.com/spreadsheets/d/1IYY_tgx_IHuhSq3AJ5eI5OnqOPBNLWSHKh2a30DoXe8/edit?usp=sharing"",""ยะลา!J314"")"),10)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IFERROR(__xludf.DUMMYFUNCTION("IMPORTRANGE(""https://docs.google.com/spreadsheets/d/1IYY_tgx_IHuhSq3AJ5eI5OnqOPBNLWSHKh2a30DoXe8/edit?usp=sharing"",""ยะลา!I315"")"),10)</f>
        <v>10</v>
      </c>
      <c r="J420" s="400">
        <f ca="1">IFERROR(__xludf.DUMMYFUNCTION("IMPORTRANGE(""https://docs.google.com/spreadsheets/d/1IYY_tgx_IHuhSq3AJ5eI5OnqOPBNLWSHKh2a30DoXe8/edit?usp=sharing"",""ยะลา!J315"")"),10)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IFERROR(__xludf.DUMMYFUNCTION("IMPORTRANGE(""https://docs.google.com/spreadsheets/d/1IYY_tgx_IHuhSq3AJ5eI5OnqOPBNLWSHKh2a30DoXe8/edit?usp=sharing"",""ยะลา!I316"")"),15)</f>
        <v>15</v>
      </c>
      <c r="J421" s="398">
        <f ca="1">IFERROR(__xludf.DUMMYFUNCTION("IMPORTRANGE(""https://docs.google.com/spreadsheets/d/1IYY_tgx_IHuhSq3AJ5eI5OnqOPBNLWSHKh2a30DoXe8/edit?usp=sharing"",""ยะลา!J316"")"),15)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IFERROR(__xludf.DUMMYFUNCTION("IMPORTRANGE(""https://docs.google.com/spreadsheets/d/1IYY_tgx_IHuhSq3AJ5eI5OnqOPBNLWSHKh2a30DoXe8/edit?usp=sharing"",""ยะลา!I317"")"),45)</f>
        <v>45</v>
      </c>
      <c r="J422" s="399">
        <f ca="1">IFERROR(__xludf.DUMMYFUNCTION("IMPORTRANGE(""https://docs.google.com/spreadsheets/d/1IYY_tgx_IHuhSq3AJ5eI5OnqOPBNLWSHKh2a30DoXe8/edit?usp=sharing"",""ยะลา!J317"")"),45)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IFERROR(__xludf.DUMMYFUNCTION("IMPORTRANGE(""https://docs.google.com/spreadsheets/d/1IYY_tgx_IHuhSq3AJ5eI5OnqOPBNLWSHKh2a30DoXe8/edit?usp=sharing"",""ยะลา!I318"")"),15)</f>
        <v>15</v>
      </c>
      <c r="J423" s="400">
        <f ca="1">IFERROR(__xludf.DUMMYFUNCTION("IMPORTRANGE(""https://docs.google.com/spreadsheets/d/1IYY_tgx_IHuhSq3AJ5eI5OnqOPBNLWSHKh2a30DoXe8/edit?usp=sharing"",""ยะลา!J318"")"),15)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IFERROR(__xludf.DUMMYFUNCTION("IMPORTRANGE(""https://docs.google.com/spreadsheets/d/1IYY_tgx_IHuhSq3AJ5eI5OnqOPBNLWSHKh2a30DoXe8/edit?usp=sharing"",""ยะลา!I319"")"),15)</f>
        <v>15</v>
      </c>
      <c r="J424" s="400">
        <f ca="1">IFERROR(__xludf.DUMMYFUNCTION("IMPORTRANGE(""https://docs.google.com/spreadsheets/d/1IYY_tgx_IHuhSq3AJ5eI5OnqOPBNLWSHKh2a30DoXe8/edit?usp=sharing"",""ยะลา!J319"")"),15)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IFERROR(__xludf.DUMMYFUNCTION("IMPORTRANGE(""https://docs.google.com/spreadsheets/d/1IYY_tgx_IHuhSq3AJ5eI5OnqOPBNLWSHKh2a30DoXe8/edit?usp=sharing"",""ยะลา!I320"")"),15)</f>
        <v>15</v>
      </c>
      <c r="J425" s="400">
        <f ca="1">IFERROR(__xludf.DUMMYFUNCTION("IMPORTRANGE(""https://docs.google.com/spreadsheets/d/1IYY_tgx_IHuhSq3AJ5eI5OnqOPBNLWSHKh2a30DoXe8/edit?usp=sharing"",""ยะลา!J320"")"),15)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IFERROR(__xludf.DUMMYFUNCTION("IMPORTRANGE(""https://docs.google.com/spreadsheets/d/1IYY_tgx_IHuhSq3AJ5eI5OnqOPBNLWSHKh2a30DoXe8/edit?usp=sharing"",""ยะลา!I321"")"),10)</f>
        <v>10</v>
      </c>
      <c r="J426" s="398">
        <f ca="1">IFERROR(__xludf.DUMMYFUNCTION("IMPORTRANGE(""https://docs.google.com/spreadsheets/d/1IYY_tgx_IHuhSq3AJ5eI5OnqOPBNLWSHKh2a30DoXe8/edit?usp=sharing"",""ยะลา!J321"")"),10)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IFERROR(__xludf.DUMMYFUNCTION("IMPORTRANGE(""https://docs.google.com/spreadsheets/d/1IYY_tgx_IHuhSq3AJ5eI5OnqOPBNLWSHKh2a30DoXe8/edit?usp=sharing"",""ยะลา!I322"")"),30)</f>
        <v>30</v>
      </c>
      <c r="J427" s="399">
        <f ca="1">IFERROR(__xludf.DUMMYFUNCTION("IMPORTRANGE(""https://docs.google.com/spreadsheets/d/1IYY_tgx_IHuhSq3AJ5eI5OnqOPBNLWSHKh2a30DoXe8/edit?usp=sharing"",""ยะลา!J322"")"),30)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IFERROR(__xludf.DUMMYFUNCTION("IMPORTRANGE(""https://docs.google.com/spreadsheets/d/1IYY_tgx_IHuhSq3AJ5eI5OnqOPBNLWSHKh2a30DoXe8/edit?usp=sharing"",""ยะลา!I323"")"),10)</f>
        <v>10</v>
      </c>
      <c r="J428" s="400">
        <f ca="1">IFERROR(__xludf.DUMMYFUNCTION("IMPORTRANGE(""https://docs.google.com/spreadsheets/d/1IYY_tgx_IHuhSq3AJ5eI5OnqOPBNLWSHKh2a30DoXe8/edit?usp=sharing"",""ยะลา!J323"")"),10)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IFERROR(__xludf.DUMMYFUNCTION("IMPORTRANGE(""https://docs.google.com/spreadsheets/d/1IYY_tgx_IHuhSq3AJ5eI5OnqOPBNLWSHKh2a30DoXe8/edit?usp=sharing"",""ยะลา!I324"")"),10)</f>
        <v>10</v>
      </c>
      <c r="J429" s="400">
        <f ca="1">IFERROR(__xludf.DUMMYFUNCTION("IMPORTRANGE(""https://docs.google.com/spreadsheets/d/1IYY_tgx_IHuhSq3AJ5eI5OnqOPBNLWSHKh2a30DoXe8/edit?usp=sharing"",""ยะลา!J324"")"),10)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IFERROR(__xludf.DUMMYFUNCTION("IMPORTRANGE(""https://docs.google.com/spreadsheets/d/1IYY_tgx_IHuhSq3AJ5eI5OnqOPBNLWSHKh2a30DoXe8/edit?usp=sharing"",""ยะลา!I325"")"),25)</f>
        <v>25</v>
      </c>
      <c r="J430" s="398">
        <f ca="1">IFERROR(__xludf.DUMMYFUNCTION("IMPORTRANGE(""https://docs.google.com/spreadsheets/d/1IYY_tgx_IHuhSq3AJ5eI5OnqOPBNLWSHKh2a30DoXe8/edit?usp=sharing"",""ยะลา!J325"")"),0)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IFERROR(__xludf.DUMMYFUNCTION("IMPORTRANGE(""https://docs.google.com/spreadsheets/d/1IYY_tgx_IHuhSq3AJ5eI5OnqOPBNLWSHKh2a30DoXe8/edit?usp=sharing"",""ยะลา!I326"")"),10)</f>
        <v>10</v>
      </c>
      <c r="J431" s="400">
        <f ca="1">IFERROR(__xludf.DUMMYFUNCTION("IMPORTRANGE(""https://docs.google.com/spreadsheets/d/1IYY_tgx_IHuhSq3AJ5eI5OnqOPBNLWSHKh2a30DoXe8/edit?usp=sharing"",""ยะลา!J326"")"),0)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IFERROR(__xludf.DUMMYFUNCTION("IMPORTRANGE(""https://docs.google.com/spreadsheets/d/1IYY_tgx_IHuhSq3AJ5eI5OnqOPBNLWSHKh2a30DoXe8/edit?usp=sharing"",""ยะลา!I327"")"),15)</f>
        <v>15</v>
      </c>
      <c r="J432" s="400">
        <f ca="1">IFERROR(__xludf.DUMMYFUNCTION("IMPORTRANGE(""https://docs.google.com/spreadsheets/d/1IYY_tgx_IHuhSq3AJ5eI5OnqOPBNLWSHKh2a30DoXe8/edit?usp=sharing"",""ยะลา!J327"")"),0)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IFERROR(__xludf.DUMMYFUNCTION("IMPORTRANGE(""https://docs.google.com/spreadsheets/d/1IYY_tgx_IHuhSq3AJ5eI5OnqOPBNLWSHKh2a30DoXe8/edit?usp=sharing"",""ยะลา!J328"")"),0)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IFERROR(__xludf.DUMMYFUNCTION("IMPORTRANGE(""https://docs.google.com/spreadsheets/d/1IYY_tgx_IHuhSq3AJ5eI5OnqOPBNLWSHKh2a30DoXe8/edit?usp=sharing"",""ยะลา!J329"")"),0)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IFERROR(__xludf.DUMMYFUNCTION("IMPORTRANGE(""https://docs.google.com/spreadsheets/d/1IYY_tgx_IHuhSq3AJ5eI5OnqOPBNLWSHKh2a30DoXe8/edit?usp=sharing"",""ยะลา!I330"")"),10)</f>
        <v>10</v>
      </c>
      <c r="J435" s="416">
        <f ca="1">IFERROR(__xludf.DUMMYFUNCTION("IMPORTRANGE(""https://docs.google.com/spreadsheets/d/1IYY_tgx_IHuhSq3AJ5eI5OnqOPBNLWSHKh2a30DoXe8/edit?usp=sharing"",""ยะลา!J330"")"),10)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IFERROR(__xludf.DUMMYFUNCTION("IMPORTRANGE(""https://docs.google.com/spreadsheets/d/1IYY_tgx_IHuhSq3AJ5eI5OnqOPBNLWSHKh2a30DoXe8/edit?usp=sharing"",""ยะลา!L330"")"),76000)</f>
        <v>76000</v>
      </c>
      <c r="M435" s="418"/>
      <c r="N435" s="418">
        <f ca="1">IFERROR(__xludf.DUMMYFUNCTION("IMPORTRANGE(""https://docs.google.com/spreadsheets/d/1IYY_tgx_IHuhSq3AJ5eI5OnqOPBNLWSHKh2a30DoXe8/edit?usp=sharing"",""ยะลา!M330"")"),76000)</f>
        <v>76000</v>
      </c>
      <c r="O435" s="418">
        <f t="shared" ref="O435:O439" ca="1" si="114">+IF(L435&gt;0,N435*100/L435,0)</f>
        <v>100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IFERROR(__xludf.DUMMYFUNCTION("IMPORTRANGE(""https://docs.google.com/spreadsheets/d/1IYY_tgx_IHuhSq3AJ5eI5OnqOPBNLWSHKh2a30DoXe8/edit?usp=sharing"",""ยะลา!L331"")"),0)</f>
        <v>0</v>
      </c>
      <c r="M436" s="168"/>
      <c r="N436" s="175">
        <f ca="1">IFERROR(__xludf.DUMMYFUNCTION("IMPORTRANGE(""https://docs.google.com/spreadsheets/d/1IYY_tgx_IHuhSq3AJ5eI5OnqOPBNLWSHKh2a30DoXe8/edit?usp=sharing"",""ยะลา!M331"")"),0)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IFERROR(__xludf.DUMMYFUNCTION("IMPORTRANGE(""https://docs.google.com/spreadsheets/d/1IYY_tgx_IHuhSq3AJ5eI5OnqOPBNLWSHKh2a30DoXe8/edit?usp=sharing"",""ยะลา!L332"")"),76000)</f>
        <v>76000</v>
      </c>
      <c r="M437" s="169"/>
      <c r="N437" s="175">
        <f ca="1">IFERROR(__xludf.DUMMYFUNCTION("IMPORTRANGE(""https://docs.google.com/spreadsheets/d/1IYY_tgx_IHuhSq3AJ5eI5OnqOPBNLWSHKh2a30DoXe8/edit?usp=sharing"",""ยะลา!M332"")"),76000)</f>
        <v>76000</v>
      </c>
      <c r="O437" s="175">
        <f t="shared" ca="1" si="114"/>
        <v>100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IFERROR(__xludf.DUMMYFUNCTION("IMPORTRANGE(""https://docs.google.com/spreadsheets/d/1IYY_tgx_IHuhSq3AJ5eI5OnqOPBNLWSHKh2a30DoXe8/edit?usp=sharing"",""ยะลา!L333"")"),0)</f>
        <v>0</v>
      </c>
      <c r="M438" s="175"/>
      <c r="N438" s="175">
        <f ca="1">IFERROR(__xludf.DUMMYFUNCTION("IMPORTRANGE(""https://docs.google.com/spreadsheets/d/1IYY_tgx_IHuhSq3AJ5eI5OnqOPBNLWSHKh2a30DoXe8/edit?usp=sharing"",""ยะลา!M333"")"),0)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IFERROR(__xludf.DUMMYFUNCTION("IMPORTRANGE(""https://docs.google.com/spreadsheets/d/1IYY_tgx_IHuhSq3AJ5eI5OnqOPBNLWSHKh2a30DoXe8/edit?usp=sharing"",""ยะลา!L334"")"),76000)</f>
        <v>76000</v>
      </c>
      <c r="M439" s="175"/>
      <c r="N439" s="175">
        <f ca="1">IFERROR(__xludf.DUMMYFUNCTION("IMPORTRANGE(""https://docs.google.com/spreadsheets/d/1IYY_tgx_IHuhSq3AJ5eI5OnqOPBNLWSHKh2a30DoXe8/edit?usp=sharing"",""ยะลา!M334"")"),76000)</f>
        <v>76000</v>
      </c>
      <c r="O439" s="175">
        <f t="shared" ca="1" si="114"/>
        <v>100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IFERROR(__xludf.DUMMYFUNCTION("IMPORTRANGE(""https://docs.google.com/spreadsheets/d/1IYY_tgx_IHuhSq3AJ5eI5OnqOPBNLWSHKh2a30DoXe8/edit?usp=sharing"",""ยะลา!M335"")"),27545)</f>
        <v>27545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IFERROR(__xludf.DUMMYFUNCTION("IMPORTRANGE(""https://docs.google.com/spreadsheets/d/1IYY_tgx_IHuhSq3AJ5eI5OnqOPBNLWSHKh2a30DoXe8/edit?usp=sharing"",""ยะลา!M336"")"),0)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IFERROR(__xludf.DUMMYFUNCTION("IMPORTRANGE(""https://docs.google.com/spreadsheets/d/1IYY_tgx_IHuhSq3AJ5eI5OnqOPBNLWSHKh2a30DoXe8/edit?usp=sharing"",""ยะลา!M337"")"),0)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IFERROR(__xludf.DUMMYFUNCTION("IMPORTRANGE(""https://docs.google.com/spreadsheets/d/1IYY_tgx_IHuhSq3AJ5eI5OnqOPBNLWSHKh2a30DoXe8/edit?usp=sharing"",""ยะลา!M338"")"),48455)</f>
        <v>48455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IFERROR(__xludf.DUMMYFUNCTION("IMPORTRANGE(""https://docs.google.com/spreadsheets/d/1IYY_tgx_IHuhSq3AJ5eI5OnqOPBNLWSHKh2a30DoXe8/edit?usp=sharing"",""ยะลา!J340"")"),0)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IFERROR(__xludf.DUMMYFUNCTION("IMPORTRANGE(""https://docs.google.com/spreadsheets/d/1IYY_tgx_IHuhSq3AJ5eI5OnqOPBNLWSHKh2a30DoXe8/edit?usp=sharing"",""ยะลา!J341"")"),1)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IFERROR(__xludf.DUMMYFUNCTION("IMPORTRANGE(""https://docs.google.com/spreadsheets/d/1IYY_tgx_IHuhSq3AJ5eI5OnqOPBNLWSHKh2a30DoXe8/edit?usp=sharing"",""ยะลา!J342"")"),1)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IFERROR(__xludf.DUMMYFUNCTION("IMPORTRANGE(""https://docs.google.com/spreadsheets/d/1IYY_tgx_IHuhSq3AJ5eI5OnqOPBNLWSHKh2a30DoXe8/edit?usp=sharing"",""ยะลา!J343"")"),1)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IFERROR(__xludf.DUMMYFUNCTION("IMPORTRANGE(""https://docs.google.com/spreadsheets/d/1IYY_tgx_IHuhSq3AJ5eI5OnqOPBNLWSHKh2a30DoXe8/edit?usp=sharing"",""ยะลา!I344"")"),10)</f>
        <v>10</v>
      </c>
      <c r="J449" s="207">
        <f ca="1">IFERROR(__xludf.DUMMYFUNCTION("IMPORTRANGE(""https://docs.google.com/spreadsheets/d/1IYY_tgx_IHuhSq3AJ5eI5OnqOPBNLWSHKh2a30DoXe8/edit?usp=sharing"",""ยะลา!J344"")"),10)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IFERROR(__xludf.DUMMYFUNCTION("IMPORTRANGE(""https://docs.google.com/spreadsheets/d/1IYY_tgx_IHuhSq3AJ5eI5OnqOPBNLWSHKh2a30DoXe8/edit?usp=sharing"",""ยะลา!I345"")"),10)</f>
        <v>10</v>
      </c>
      <c r="J450" s="195">
        <f ca="1">IFERROR(__xludf.DUMMYFUNCTION("IMPORTRANGE(""https://docs.google.com/spreadsheets/d/1IYY_tgx_IHuhSq3AJ5eI5OnqOPBNLWSHKh2a30DoXe8/edit?usp=sharing"",""ยะลา!J345"")"),10)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IFERROR(__xludf.DUMMYFUNCTION("IMPORTRANGE(""https://docs.google.com/spreadsheets/d/1IYY_tgx_IHuhSq3AJ5eI5OnqOPBNLWSHKh2a30DoXe8/edit?usp=sharing"",""ยะลา!I346"")"),0)</f>
        <v>0</v>
      </c>
      <c r="J451" s="194">
        <f ca="1">IFERROR(__xludf.DUMMYFUNCTION("IMPORTRANGE(""https://docs.google.com/spreadsheets/d/1IYY_tgx_IHuhSq3AJ5eI5OnqOPBNLWSHKh2a30DoXe8/edit?usp=sharing"",""ยะลา!J346"")"),0)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IFERROR(__xludf.DUMMYFUNCTION("IMPORTRANGE(""https://docs.google.com/spreadsheets/d/1IYY_tgx_IHuhSq3AJ5eI5OnqOPBNLWSHKh2a30DoXe8/edit?usp=sharing"",""ยะลา!I347"")"),0)</f>
        <v>0</v>
      </c>
      <c r="J452" s="194">
        <f ca="1">IFERROR(__xludf.DUMMYFUNCTION("IMPORTRANGE(""https://docs.google.com/spreadsheets/d/1IYY_tgx_IHuhSq3AJ5eI5OnqOPBNLWSHKh2a30DoXe8/edit?usp=sharing"",""ยะลา!J347"")"),0)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IFERROR(__xludf.DUMMYFUNCTION("IMPORTRANGE(""https://docs.google.com/spreadsheets/d/1IYY_tgx_IHuhSq3AJ5eI5OnqOPBNLWSHKh2a30DoXe8/edit?usp=sharing"",""ยะลา!J348"")"),0)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IFERROR(__xludf.DUMMYFUNCTION("IMPORTRANGE(""https://docs.google.com/spreadsheets/d/1IYY_tgx_IHuhSq3AJ5eI5OnqOPBNLWSHKh2a30DoXe8/edit?usp=sharing"",""ยะลา!J349"")"),0)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IFERROR(__xludf.DUMMYFUNCTION("IMPORTRANGE(""https://docs.google.com/spreadsheets/d/1IYY_tgx_IHuhSq3AJ5eI5OnqOPBNLWSHKh2a30DoXe8/edit?usp=sharing"",""ยะลา!I350"")"),5390)</f>
        <v>5390</v>
      </c>
      <c r="J455" s="377">
        <f ca="1">IFERROR(__xludf.DUMMYFUNCTION("IMPORTRANGE(""https://docs.google.com/spreadsheets/d/1IYY_tgx_IHuhSq3AJ5eI5OnqOPBNLWSHKh2a30DoXe8/edit?usp=sharing"",""ยะลา!J350"")"),5391)</f>
        <v>5391</v>
      </c>
      <c r="K455" s="378">
        <f ca="1">IF(I455&gt;0,J455*100/I455,0)</f>
        <v>100.01855287569573</v>
      </c>
      <c r="L455" s="379">
        <f ca="1">IFERROR(__xludf.DUMMYFUNCTION("IMPORTRANGE(""https://docs.google.com/spreadsheets/d/1IYY_tgx_IHuhSq3AJ5eI5OnqOPBNLWSHKh2a30DoXe8/edit?usp=sharing"",""ยะลา!L350"")"),77876.9)</f>
        <v>77876.899999999994</v>
      </c>
      <c r="M455" s="379"/>
      <c r="N455" s="379">
        <f ca="1">IFERROR(__xludf.DUMMYFUNCTION("IMPORTRANGE(""https://docs.google.com/spreadsheets/d/1IYY_tgx_IHuhSq3AJ5eI5OnqOPBNLWSHKh2a30DoXe8/edit?usp=sharing"",""ยะลา!M350"")"),6515)</f>
        <v>6515</v>
      </c>
      <c r="O455" s="379">
        <f t="shared" ref="O455:O459" ca="1" si="116">+IF(L455&gt;0,N455*100/L455,0)</f>
        <v>8.3657669989432044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IFERROR(__xludf.DUMMYFUNCTION("IMPORTRANGE(""https://docs.google.com/spreadsheets/d/1IYY_tgx_IHuhSq3AJ5eI5OnqOPBNLWSHKh2a30DoXe8/edit?usp=sharing"",""ยะลา!L351"")"),0)</f>
        <v>0</v>
      </c>
      <c r="M456" s="168"/>
      <c r="N456" s="175">
        <f ca="1">IFERROR(__xludf.DUMMYFUNCTION("IMPORTRANGE(""https://docs.google.com/spreadsheets/d/1IYY_tgx_IHuhSq3AJ5eI5OnqOPBNLWSHKh2a30DoXe8/edit?usp=sharing"",""ยะลา!M351"")"),0)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IFERROR(__xludf.DUMMYFUNCTION("IMPORTRANGE(""https://docs.google.com/spreadsheets/d/1IYY_tgx_IHuhSq3AJ5eI5OnqOPBNLWSHKh2a30DoXe8/edit?usp=sharing"",""ยะลา!L352"")"),77876.9)</f>
        <v>77876.899999999994</v>
      </c>
      <c r="M457" s="169"/>
      <c r="N457" s="175">
        <f ca="1">IFERROR(__xludf.DUMMYFUNCTION("IMPORTRANGE(""https://docs.google.com/spreadsheets/d/1IYY_tgx_IHuhSq3AJ5eI5OnqOPBNLWSHKh2a30DoXe8/edit?usp=sharing"",""ยะลา!M352"")"),6515)</f>
        <v>6515</v>
      </c>
      <c r="O457" s="175">
        <f t="shared" ca="1" si="116"/>
        <v>8.3657669989432044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IFERROR(__xludf.DUMMYFUNCTION("IMPORTRANGE(""https://docs.google.com/spreadsheets/d/1IYY_tgx_IHuhSq3AJ5eI5OnqOPBNLWSHKh2a30DoXe8/edit?usp=sharing"",""ยะลา!L353"")"),0)</f>
        <v>0</v>
      </c>
      <c r="M458" s="175"/>
      <c r="N458" s="175">
        <f ca="1">IFERROR(__xludf.DUMMYFUNCTION("IMPORTRANGE(""https://docs.google.com/spreadsheets/d/1IYY_tgx_IHuhSq3AJ5eI5OnqOPBNLWSHKh2a30DoXe8/edit?usp=sharing"",""ยะลา!M353"")"),0)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IFERROR(__xludf.DUMMYFUNCTION("IMPORTRANGE(""https://docs.google.com/spreadsheets/d/1IYY_tgx_IHuhSq3AJ5eI5OnqOPBNLWSHKh2a30DoXe8/edit?usp=sharing"",""ยะลา!L354"")"),77876.9)</f>
        <v>77876.899999999994</v>
      </c>
      <c r="M459" s="175"/>
      <c r="N459" s="175">
        <f ca="1">IFERROR(__xludf.DUMMYFUNCTION("IMPORTRANGE(""https://docs.google.com/spreadsheets/d/1IYY_tgx_IHuhSq3AJ5eI5OnqOPBNLWSHKh2a30DoXe8/edit?usp=sharing"",""ยะลา!M354"")"),6515)</f>
        <v>6515</v>
      </c>
      <c r="O459" s="175">
        <f t="shared" ca="1" si="116"/>
        <v>8.3657669989432044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IFERROR(__xludf.DUMMYFUNCTION("IMPORTRANGE(""https://docs.google.com/spreadsheets/d/1IYY_tgx_IHuhSq3AJ5eI5OnqOPBNLWSHKh2a30DoXe8/edit?usp=sharing"",""ยะลา!M355"")"),0)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IFERROR(__xludf.DUMMYFUNCTION("IMPORTRANGE(""https://docs.google.com/spreadsheets/d/1IYY_tgx_IHuhSq3AJ5eI5OnqOPBNLWSHKh2a30DoXe8/edit?usp=sharing"",""ยะลา!M356"")"),0)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IFERROR(__xludf.DUMMYFUNCTION("IMPORTRANGE(""https://docs.google.com/spreadsheets/d/1IYY_tgx_IHuhSq3AJ5eI5OnqOPBNLWSHKh2a30DoXe8/edit?usp=sharing"",""ยะลา!M357"")"),0)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IFERROR(__xludf.DUMMYFUNCTION("IMPORTRANGE(""https://docs.google.com/spreadsheets/d/1IYY_tgx_IHuhSq3AJ5eI5OnqOPBNLWSHKh2a30DoXe8/edit?usp=sharing"",""ยะลา!M358"")"),6515)</f>
        <v>6515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IFERROR(__xludf.DUMMYFUNCTION("IMPORTRANGE(""https://docs.google.com/spreadsheets/d/1IYY_tgx_IHuhSq3AJ5eI5OnqOPBNLWSHKh2a30DoXe8/edit?usp=sharing"",""ยะลา!I359"")"),5390)</f>
        <v>5390</v>
      </c>
      <c r="J464" s="273">
        <f ca="1">IFERROR(__xludf.DUMMYFUNCTION("IMPORTRANGE(""https://docs.google.com/spreadsheets/d/1IYY_tgx_IHuhSq3AJ5eI5OnqOPBNLWSHKh2a30DoXe8/edit?usp=sharing"",""ยะลา!J359"")"),5391)</f>
        <v>5391</v>
      </c>
      <c r="K464" s="274">
        <f t="shared" ref="K464:K515" ca="1" si="117">IF(I464&gt;0,J464*100/I464,0)</f>
        <v>100.01855287569573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IFERROR(__xludf.DUMMYFUNCTION("IMPORTRANGE(""https://docs.google.com/spreadsheets/d/1IYY_tgx_IHuhSq3AJ5eI5OnqOPBNLWSHKh2a30DoXe8/edit?usp=sharing"",""ยะลา!I360"")"),5390)</f>
        <v>5390</v>
      </c>
      <c r="J465" s="426">
        <f ca="1">IFERROR(__xludf.DUMMYFUNCTION("IMPORTRANGE(""https://docs.google.com/spreadsheets/d/1IYY_tgx_IHuhSq3AJ5eI5OnqOPBNLWSHKh2a30DoXe8/edit?usp=sharing"",""ยะลา!J360"")"),5391)</f>
        <v>5391</v>
      </c>
      <c r="K465" s="208">
        <f t="shared" ca="1" si="117"/>
        <v>100.01855287569573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IFERROR(__xludf.DUMMYFUNCTION("IMPORTRANGE(""https://docs.google.com/spreadsheets/d/1IYY_tgx_IHuhSq3AJ5eI5OnqOPBNLWSHKh2a30DoXe8/edit?usp=sharing"",""ยะลา!I361"")"),1357)</f>
        <v>1357</v>
      </c>
      <c r="J466" s="426">
        <f ca="1">IFERROR(__xludf.DUMMYFUNCTION("IMPORTRANGE(""https://docs.google.com/spreadsheets/d/1IYY_tgx_IHuhSq3AJ5eI5OnqOPBNLWSHKh2a30DoXe8/edit?usp=sharing"",""ยะลา!J361"")"),1357)</f>
        <v>1357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IFERROR(__xludf.DUMMYFUNCTION("IMPORTRANGE(""https://docs.google.com/spreadsheets/d/1IYY_tgx_IHuhSq3AJ5eI5OnqOPBNLWSHKh2a30DoXe8/edit?usp=sharing"",""ยะลา!I362"")"),0)</f>
        <v>0</v>
      </c>
      <c r="J467" s="195">
        <f ca="1">IFERROR(__xludf.DUMMYFUNCTION("IMPORTRANGE(""https://docs.google.com/spreadsheets/d/1IYY_tgx_IHuhSq3AJ5eI5OnqOPBNLWSHKh2a30DoXe8/edit?usp=sharing"",""ยะลา!J362"")"),4970)</f>
        <v>4970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IFERROR(__xludf.DUMMYFUNCTION("IMPORTRANGE(""https://docs.google.com/spreadsheets/d/1IYY_tgx_IHuhSq3AJ5eI5OnqOPBNLWSHKh2a30DoXe8/edit?usp=sharing"",""ยะลา!I363"")"),0)</f>
        <v>0</v>
      </c>
      <c r="J468" s="195">
        <f ca="1">IFERROR(__xludf.DUMMYFUNCTION("IMPORTRANGE(""https://docs.google.com/spreadsheets/d/1IYY_tgx_IHuhSq3AJ5eI5OnqOPBNLWSHKh2a30DoXe8/edit?usp=sharing"",""ยะลา!J363"")"),1290)</f>
        <v>1290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IFERROR(__xludf.DUMMYFUNCTION("IMPORTRANGE(""https://docs.google.com/spreadsheets/d/1IYY_tgx_IHuhSq3AJ5eI5OnqOPBNLWSHKh2a30DoXe8/edit?usp=sharing"",""ยะลา!I364"")"),0)</f>
        <v>0</v>
      </c>
      <c r="J469" s="195">
        <f ca="1">IFERROR(__xludf.DUMMYFUNCTION("IMPORTRANGE(""https://docs.google.com/spreadsheets/d/1IYY_tgx_IHuhSq3AJ5eI5OnqOPBNLWSHKh2a30DoXe8/edit?usp=sharing"",""ยะลา!J364"")"),237)</f>
        <v>237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IFERROR(__xludf.DUMMYFUNCTION("IMPORTRANGE(""https://docs.google.com/spreadsheets/d/1IYY_tgx_IHuhSq3AJ5eI5OnqOPBNLWSHKh2a30DoXe8/edit?usp=sharing"",""ยะลา!I365"")"),0)</f>
        <v>0</v>
      </c>
      <c r="J470" s="195">
        <f ca="1">IFERROR(__xludf.DUMMYFUNCTION("IMPORTRANGE(""https://docs.google.com/spreadsheets/d/1IYY_tgx_IHuhSq3AJ5eI5OnqOPBNLWSHKh2a30DoXe8/edit?usp=sharing"",""ยะลา!J365"")"),32)</f>
        <v>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IFERROR(__xludf.DUMMYFUNCTION("IMPORTRANGE(""https://docs.google.com/spreadsheets/d/1IYY_tgx_IHuhSq3AJ5eI5OnqOPBNLWSHKh2a30DoXe8/edit?usp=sharing"",""ยะลา!I366"")"),0)</f>
        <v>0</v>
      </c>
      <c r="J471" s="195">
        <f ca="1">IFERROR(__xludf.DUMMYFUNCTION("IMPORTRANGE(""https://docs.google.com/spreadsheets/d/1IYY_tgx_IHuhSq3AJ5eI5OnqOPBNLWSHKh2a30DoXe8/edit?usp=sharing"",""ยะลา!J366"")"),184)</f>
        <v>184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IFERROR(__xludf.DUMMYFUNCTION("IMPORTRANGE(""https://docs.google.com/spreadsheets/d/1IYY_tgx_IHuhSq3AJ5eI5OnqOPBNLWSHKh2a30DoXe8/edit?usp=sharing"",""ยะลา!I367"")"),0)</f>
        <v>0</v>
      </c>
      <c r="J472" s="195">
        <f ca="1">IFERROR(__xludf.DUMMYFUNCTION("IMPORTRANGE(""https://docs.google.com/spreadsheets/d/1IYY_tgx_IHuhSq3AJ5eI5OnqOPBNLWSHKh2a30DoXe8/edit?usp=sharing"",""ยะลา!J367"")"),35)</f>
        <v>35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IFERROR(__xludf.DUMMYFUNCTION("IMPORTRANGE(""https://docs.google.com/spreadsheets/d/1IYY_tgx_IHuhSq3AJ5eI5OnqOPBNLWSHKh2a30DoXe8/edit?usp=sharing"",""ยะลา!I368"")"),5390)</f>
        <v>5390</v>
      </c>
      <c r="J473" s="426">
        <f ca="1">IFERROR(__xludf.DUMMYFUNCTION("IMPORTRANGE(""https://docs.google.com/spreadsheets/d/1IYY_tgx_IHuhSq3AJ5eI5OnqOPBNLWSHKh2a30DoXe8/edit?usp=sharing"",""ยะลา!J368"")"),5391)</f>
        <v>5391</v>
      </c>
      <c r="K473" s="208">
        <f t="shared" ca="1" si="117"/>
        <v>100.01855287569573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IFERROR(__xludf.DUMMYFUNCTION("IMPORTRANGE(""https://docs.google.com/spreadsheets/d/1IYY_tgx_IHuhSq3AJ5eI5OnqOPBNLWSHKh2a30DoXe8/edit?usp=sharing"",""ยะลา!I369"")"),1357)</f>
        <v>1357</v>
      </c>
      <c r="J474" s="426">
        <f ca="1">IFERROR(__xludf.DUMMYFUNCTION("IMPORTRANGE(""https://docs.google.com/spreadsheets/d/1IYY_tgx_IHuhSq3AJ5eI5OnqOPBNLWSHKh2a30DoXe8/edit?usp=sharing"",""ยะลา!J369"")"),1357)</f>
        <v>1357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IFERROR(__xludf.DUMMYFUNCTION("IMPORTRANGE(""https://docs.google.com/spreadsheets/d/1IYY_tgx_IHuhSq3AJ5eI5OnqOPBNLWSHKh2a30DoXe8/edit?usp=sharing"",""ยะลา!I370"")"),0)</f>
        <v>0</v>
      </c>
      <c r="J475" s="195">
        <f ca="1">IFERROR(__xludf.DUMMYFUNCTION("IMPORTRANGE(""https://docs.google.com/spreadsheets/d/1IYY_tgx_IHuhSq3AJ5eI5OnqOPBNLWSHKh2a30DoXe8/edit?usp=sharing"",""ยะลา!J370"")"),4970)</f>
        <v>4970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IFERROR(__xludf.DUMMYFUNCTION("IMPORTRANGE(""https://docs.google.com/spreadsheets/d/1IYY_tgx_IHuhSq3AJ5eI5OnqOPBNLWSHKh2a30DoXe8/edit?usp=sharing"",""ยะลา!I371"")"),0)</f>
        <v>0</v>
      </c>
      <c r="J476" s="195">
        <f ca="1">IFERROR(__xludf.DUMMYFUNCTION("IMPORTRANGE(""https://docs.google.com/spreadsheets/d/1IYY_tgx_IHuhSq3AJ5eI5OnqOPBNLWSHKh2a30DoXe8/edit?usp=sharing"",""ยะลา!J371"")"),1290)</f>
        <v>1290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IFERROR(__xludf.DUMMYFUNCTION("IMPORTRANGE(""https://docs.google.com/spreadsheets/d/1IYY_tgx_IHuhSq3AJ5eI5OnqOPBNLWSHKh2a30DoXe8/edit?usp=sharing"",""ยะลา!I372"")"),0)</f>
        <v>0</v>
      </c>
      <c r="J477" s="195">
        <f ca="1">IFERROR(__xludf.DUMMYFUNCTION("IMPORTRANGE(""https://docs.google.com/spreadsheets/d/1IYY_tgx_IHuhSq3AJ5eI5OnqOPBNLWSHKh2a30DoXe8/edit?usp=sharing"",""ยะลา!J372"")"),237)</f>
        <v>237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IFERROR(__xludf.DUMMYFUNCTION("IMPORTRANGE(""https://docs.google.com/spreadsheets/d/1IYY_tgx_IHuhSq3AJ5eI5OnqOPBNLWSHKh2a30DoXe8/edit?usp=sharing"",""ยะลา!I373"")"),0)</f>
        <v>0</v>
      </c>
      <c r="J478" s="195">
        <f ca="1">IFERROR(__xludf.DUMMYFUNCTION("IMPORTRANGE(""https://docs.google.com/spreadsheets/d/1IYY_tgx_IHuhSq3AJ5eI5OnqOPBNLWSHKh2a30DoXe8/edit?usp=sharing"",""ยะลา!J373"")"),32)</f>
        <v>32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IFERROR(__xludf.DUMMYFUNCTION("IMPORTRANGE(""https://docs.google.com/spreadsheets/d/1IYY_tgx_IHuhSq3AJ5eI5OnqOPBNLWSHKh2a30DoXe8/edit?usp=sharing"",""ยะลา!I374"")"),0)</f>
        <v>0</v>
      </c>
      <c r="J479" s="195">
        <f ca="1">IFERROR(__xludf.DUMMYFUNCTION("IMPORTRANGE(""https://docs.google.com/spreadsheets/d/1IYY_tgx_IHuhSq3AJ5eI5OnqOPBNLWSHKh2a30DoXe8/edit?usp=sharing"",""ยะลา!J374"")"),184)</f>
        <v>184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IFERROR(__xludf.DUMMYFUNCTION("IMPORTRANGE(""https://docs.google.com/spreadsheets/d/1IYY_tgx_IHuhSq3AJ5eI5OnqOPBNLWSHKh2a30DoXe8/edit?usp=sharing"",""ยะลา!I375"")"),0)</f>
        <v>0</v>
      </c>
      <c r="J480" s="195">
        <f ca="1">IFERROR(__xludf.DUMMYFUNCTION("IMPORTRANGE(""https://docs.google.com/spreadsheets/d/1IYY_tgx_IHuhSq3AJ5eI5OnqOPBNLWSHKh2a30DoXe8/edit?usp=sharing"",""ยะลา!J375"")"),35)</f>
        <v>35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IFERROR(__xludf.DUMMYFUNCTION("IMPORTRANGE(""https://docs.google.com/spreadsheets/d/1IYY_tgx_IHuhSq3AJ5eI5OnqOPBNLWSHKh2a30DoXe8/edit?usp=sharing"",""ยะลา!I376"")"),5390)</f>
        <v>5390</v>
      </c>
      <c r="J481" s="426">
        <f ca="1">IFERROR(__xludf.DUMMYFUNCTION("IMPORTRANGE(""https://docs.google.com/spreadsheets/d/1IYY_tgx_IHuhSq3AJ5eI5OnqOPBNLWSHKh2a30DoXe8/edit?usp=sharing"",""ยะลา!J376"")"),5391)</f>
        <v>5391</v>
      </c>
      <c r="K481" s="208">
        <f t="shared" ca="1" si="117"/>
        <v>100.01855287569573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IFERROR(__xludf.DUMMYFUNCTION("IMPORTRANGE(""https://docs.google.com/spreadsheets/d/1IYY_tgx_IHuhSq3AJ5eI5OnqOPBNLWSHKh2a30DoXe8/edit?usp=sharing"",""ยะลา!I377"")"),1357)</f>
        <v>1357</v>
      </c>
      <c r="J482" s="426">
        <f ca="1">IFERROR(__xludf.DUMMYFUNCTION("IMPORTRANGE(""https://docs.google.com/spreadsheets/d/1IYY_tgx_IHuhSq3AJ5eI5OnqOPBNLWSHKh2a30DoXe8/edit?usp=sharing"",""ยะลา!J377"")"),1357)</f>
        <v>1357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IFERROR(__xludf.DUMMYFUNCTION("IMPORTRANGE(""https://docs.google.com/spreadsheets/d/1IYY_tgx_IHuhSq3AJ5eI5OnqOPBNLWSHKh2a30DoXe8/edit?usp=sharing"",""ยะลา!I378"")"),0)</f>
        <v>0</v>
      </c>
      <c r="J483" s="195">
        <f ca="1">IFERROR(__xludf.DUMMYFUNCTION("IMPORTRANGE(""https://docs.google.com/spreadsheets/d/1IYY_tgx_IHuhSq3AJ5eI5OnqOPBNLWSHKh2a30DoXe8/edit?usp=sharing"",""ยะลา!J378"")"),4970)</f>
        <v>4970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IFERROR(__xludf.DUMMYFUNCTION("IMPORTRANGE(""https://docs.google.com/spreadsheets/d/1IYY_tgx_IHuhSq3AJ5eI5OnqOPBNLWSHKh2a30DoXe8/edit?usp=sharing"",""ยะลา!I379"")"),0)</f>
        <v>0</v>
      </c>
      <c r="J484" s="195">
        <f ca="1">IFERROR(__xludf.DUMMYFUNCTION("IMPORTRANGE(""https://docs.google.com/spreadsheets/d/1IYY_tgx_IHuhSq3AJ5eI5OnqOPBNLWSHKh2a30DoXe8/edit?usp=sharing"",""ยะลา!J379"")"),1290)</f>
        <v>1290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IFERROR(__xludf.DUMMYFUNCTION("IMPORTRANGE(""https://docs.google.com/spreadsheets/d/1IYY_tgx_IHuhSq3AJ5eI5OnqOPBNLWSHKh2a30DoXe8/edit?usp=sharing"",""ยะลา!I380"")"),0)</f>
        <v>0</v>
      </c>
      <c r="J485" s="195">
        <f ca="1">IFERROR(__xludf.DUMMYFUNCTION("IMPORTRANGE(""https://docs.google.com/spreadsheets/d/1IYY_tgx_IHuhSq3AJ5eI5OnqOPBNLWSHKh2a30DoXe8/edit?usp=sharing"",""ยะลา!J380"")"),237)</f>
        <v>237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IFERROR(__xludf.DUMMYFUNCTION("IMPORTRANGE(""https://docs.google.com/spreadsheets/d/1IYY_tgx_IHuhSq3AJ5eI5OnqOPBNLWSHKh2a30DoXe8/edit?usp=sharing"",""ยะลา!I381"")"),0)</f>
        <v>0</v>
      </c>
      <c r="J486" s="195">
        <f ca="1">IFERROR(__xludf.DUMMYFUNCTION("IMPORTRANGE(""https://docs.google.com/spreadsheets/d/1IYY_tgx_IHuhSq3AJ5eI5OnqOPBNLWSHKh2a30DoXe8/edit?usp=sharing"",""ยะลา!J381"")"),32)</f>
        <v>32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IFERROR(__xludf.DUMMYFUNCTION("IMPORTRANGE(""https://docs.google.com/spreadsheets/d/1IYY_tgx_IHuhSq3AJ5eI5OnqOPBNLWSHKh2a30DoXe8/edit?usp=sharing"",""ยะลา!I382"")"),0)</f>
        <v>0</v>
      </c>
      <c r="J487" s="426">
        <f ca="1">IFERROR(__xludf.DUMMYFUNCTION("IMPORTRANGE(""https://docs.google.com/spreadsheets/d/1IYY_tgx_IHuhSq3AJ5eI5OnqOPBNLWSHKh2a30DoXe8/edit?usp=sharing"",""ยะลา!J382"")"),184)</f>
        <v>184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IFERROR(__xludf.DUMMYFUNCTION("IMPORTRANGE(""https://docs.google.com/spreadsheets/d/1IYY_tgx_IHuhSq3AJ5eI5OnqOPBNLWSHKh2a30DoXe8/edit?usp=sharing"",""ยะลา!I383"")"),0)</f>
        <v>0</v>
      </c>
      <c r="J488" s="426">
        <f ca="1">IFERROR(__xludf.DUMMYFUNCTION("IMPORTRANGE(""https://docs.google.com/spreadsheets/d/1IYY_tgx_IHuhSq3AJ5eI5OnqOPBNLWSHKh2a30DoXe8/edit?usp=sharing"",""ยะลา!J383"")"),35)</f>
        <v>35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IFERROR(__xludf.DUMMYFUNCTION("IMPORTRANGE(""https://docs.google.com/spreadsheets/d/1IYY_tgx_IHuhSq3AJ5eI5OnqOPBNLWSHKh2a30DoXe8/edit?usp=sharing"",""ยะลา!I384"")"),0)</f>
        <v>0</v>
      </c>
      <c r="J489" s="195">
        <f ca="1">IFERROR(__xludf.DUMMYFUNCTION("IMPORTRANGE(""https://docs.google.com/spreadsheets/d/1IYY_tgx_IHuhSq3AJ5eI5OnqOPBNLWSHKh2a30DoXe8/edit?usp=sharing"",""ยะลา!J384"")"),184)</f>
        <v>184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IFERROR(__xludf.DUMMYFUNCTION("IMPORTRANGE(""https://docs.google.com/spreadsheets/d/1IYY_tgx_IHuhSq3AJ5eI5OnqOPBNLWSHKh2a30DoXe8/edit?usp=sharing"",""ยะลา!I385"")"),0)</f>
        <v>0</v>
      </c>
      <c r="J490" s="195">
        <f ca="1">IFERROR(__xludf.DUMMYFUNCTION("IMPORTRANGE(""https://docs.google.com/spreadsheets/d/1IYY_tgx_IHuhSq3AJ5eI5OnqOPBNLWSHKh2a30DoXe8/edit?usp=sharing"",""ยะลา!J385"")"),35)</f>
        <v>35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IFERROR(__xludf.DUMMYFUNCTION("IMPORTRANGE(""https://docs.google.com/spreadsheets/d/1IYY_tgx_IHuhSq3AJ5eI5OnqOPBNLWSHKh2a30DoXe8/edit?usp=sharing"",""ยะลา!I386"")"),0)</f>
        <v>0</v>
      </c>
      <c r="J491" s="195">
        <f ca="1">IFERROR(__xludf.DUMMYFUNCTION("IMPORTRANGE(""https://docs.google.com/spreadsheets/d/1IYY_tgx_IHuhSq3AJ5eI5OnqOPBNLWSHKh2a30DoXe8/edit?usp=sharing"",""ยะลา!J386"")"),0)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IFERROR(__xludf.DUMMYFUNCTION("IMPORTRANGE(""https://docs.google.com/spreadsheets/d/1IYY_tgx_IHuhSq3AJ5eI5OnqOPBNLWSHKh2a30DoXe8/edit?usp=sharing"",""ยะลา!I387"")"),0)</f>
        <v>0</v>
      </c>
      <c r="J492" s="195">
        <f ca="1">IFERROR(__xludf.DUMMYFUNCTION("IMPORTRANGE(""https://docs.google.com/spreadsheets/d/1IYY_tgx_IHuhSq3AJ5eI5OnqOPBNLWSHKh2a30DoXe8/edit?usp=sharing"",""ยะลา!J387"")"),0)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IFERROR(__xludf.DUMMYFUNCTION("IMPORTRANGE(""https://docs.google.com/spreadsheets/d/1IYY_tgx_IHuhSq3AJ5eI5OnqOPBNLWSHKh2a30DoXe8/edit?usp=sharing"",""ยะลา!I388"")"),0)</f>
        <v>0</v>
      </c>
      <c r="J493" s="195">
        <f ca="1">IFERROR(__xludf.DUMMYFUNCTION("IMPORTRANGE(""https://docs.google.com/spreadsheets/d/1IYY_tgx_IHuhSq3AJ5eI5OnqOPBNLWSHKh2a30DoXe8/edit?usp=sharing"",""ยะลา!J388"")"),0)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IFERROR(__xludf.DUMMYFUNCTION("IMPORTRANGE(""https://docs.google.com/spreadsheets/d/1IYY_tgx_IHuhSq3AJ5eI5OnqOPBNLWSHKh2a30DoXe8/edit?usp=sharing"",""ยะลา!I389"")"),0)</f>
        <v>0</v>
      </c>
      <c r="J494" s="442">
        <f ca="1">IFERROR(__xludf.DUMMYFUNCTION("IMPORTRANGE(""https://docs.google.com/spreadsheets/d/1IYY_tgx_IHuhSq3AJ5eI5OnqOPBNLWSHKh2a30DoXe8/edit?usp=sharing"",""ยะลา!J389"")"),0)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IFERROR(__xludf.DUMMYFUNCTION("IMPORTRANGE(""https://docs.google.com/spreadsheets/d/1IYY_tgx_IHuhSq3AJ5eI5OnqOPBNLWSHKh2a30DoXe8/edit?usp=sharing"",""ยะลา!I390"")"),0)</f>
        <v>0</v>
      </c>
      <c r="J495" s="442">
        <f ca="1">IFERROR(__xludf.DUMMYFUNCTION("IMPORTRANGE(""https://docs.google.com/spreadsheets/d/1IYY_tgx_IHuhSq3AJ5eI5OnqOPBNLWSHKh2a30DoXe8/edit?usp=sharing"",""ยะลา!J390"")"),0)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IFERROR(__xludf.DUMMYFUNCTION("IMPORTRANGE(""https://docs.google.com/spreadsheets/d/1IYY_tgx_IHuhSq3AJ5eI5OnqOPBNLWSHKh2a30DoXe8/edit?usp=sharing"",""ยะลา!I391"")"),0)</f>
        <v>0</v>
      </c>
      <c r="J496" s="442">
        <f ca="1">IFERROR(__xludf.DUMMYFUNCTION("IMPORTRANGE(""https://docs.google.com/spreadsheets/d/1IYY_tgx_IHuhSq3AJ5eI5OnqOPBNLWSHKh2a30DoXe8/edit?usp=sharing"",""ยะลา!J391"")"),0)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IFERROR(__xludf.DUMMYFUNCTION("IMPORTRANGE(""https://docs.google.com/spreadsheets/d/1IYY_tgx_IHuhSq3AJ5eI5OnqOPBNLWSHKh2a30DoXe8/edit?usp=sharing"",""ยะลา!I392"")"),0)</f>
        <v>0</v>
      </c>
      <c r="J497" s="449">
        <f ca="1">IFERROR(__xludf.DUMMYFUNCTION("IMPORTRANGE(""https://docs.google.com/spreadsheets/d/1IYY_tgx_IHuhSq3AJ5eI5OnqOPBNLWSHKh2a30DoXe8/edit?usp=sharing"",""ยะลา!J392"")"),0)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IFERROR(__xludf.DUMMYFUNCTION("IMPORTRANGE(""https://docs.google.com/spreadsheets/d/1IYY_tgx_IHuhSq3AJ5eI5OnqOPBNLWSHKh2a30DoXe8/edit?usp=sharing"",""ยะลา!I393"")"),0)</f>
        <v>0</v>
      </c>
      <c r="J498" s="426">
        <f ca="1">IFERROR(__xludf.DUMMYFUNCTION("IMPORTRANGE(""https://docs.google.com/spreadsheets/d/1IYY_tgx_IHuhSq3AJ5eI5OnqOPBNLWSHKh2a30DoXe8/edit?usp=sharing"",""ยะลา!J393"")"),0)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IFERROR(__xludf.DUMMYFUNCTION("IMPORTRANGE(""https://docs.google.com/spreadsheets/d/1IYY_tgx_IHuhSq3AJ5eI5OnqOPBNLWSHKh2a30DoXe8/edit?usp=sharing"",""ยะลา!I394"")"),0)</f>
        <v>0</v>
      </c>
      <c r="J499" s="426">
        <f ca="1">IFERROR(__xludf.DUMMYFUNCTION("IMPORTRANGE(""https://docs.google.com/spreadsheets/d/1IYY_tgx_IHuhSq3AJ5eI5OnqOPBNLWSHKh2a30DoXe8/edit?usp=sharing"",""ยะลา!J394"")"),0)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IFERROR(__xludf.DUMMYFUNCTION("IMPORTRANGE(""https://docs.google.com/spreadsheets/d/1IYY_tgx_IHuhSq3AJ5eI5OnqOPBNLWSHKh2a30DoXe8/edit?usp=sharing"",""ยะลา!I395"")"),0)</f>
        <v>0</v>
      </c>
      <c r="J500" s="166">
        <f ca="1">IFERROR(__xludf.DUMMYFUNCTION("IMPORTRANGE(""https://docs.google.com/spreadsheets/d/1IYY_tgx_IHuhSq3AJ5eI5OnqOPBNLWSHKh2a30DoXe8/edit?usp=sharing"",""ยะลา!J395"")"),0)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IFERROR(__xludf.DUMMYFUNCTION("IMPORTRANGE(""https://docs.google.com/spreadsheets/d/1IYY_tgx_IHuhSq3AJ5eI5OnqOPBNLWSHKh2a30DoXe8/edit?usp=sharing"",""ยะลา!I396"")"),0)</f>
        <v>0</v>
      </c>
      <c r="J501" s="166">
        <f ca="1">IFERROR(__xludf.DUMMYFUNCTION("IMPORTRANGE(""https://docs.google.com/spreadsheets/d/1IYY_tgx_IHuhSq3AJ5eI5OnqOPBNLWSHKh2a30DoXe8/edit?usp=sharing"",""ยะลา!J396"")"),0)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IFERROR(__xludf.DUMMYFUNCTION("IMPORTRANGE(""https://docs.google.com/spreadsheets/d/1IYY_tgx_IHuhSq3AJ5eI5OnqOPBNLWSHKh2a30DoXe8/edit?usp=sharing"",""ยะลา!I397"")"),0)</f>
        <v>0</v>
      </c>
      <c r="J502" s="195">
        <f ca="1">IFERROR(__xludf.DUMMYFUNCTION("IMPORTRANGE(""https://docs.google.com/spreadsheets/d/1IYY_tgx_IHuhSq3AJ5eI5OnqOPBNLWSHKh2a30DoXe8/edit?usp=sharing"",""ยะลา!J397"")"),0)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IFERROR(__xludf.DUMMYFUNCTION("IMPORTRANGE(""https://docs.google.com/spreadsheets/d/1IYY_tgx_IHuhSq3AJ5eI5OnqOPBNLWSHKh2a30DoXe8/edit?usp=sharing"",""ยะลา!I398"")"),0)</f>
        <v>0</v>
      </c>
      <c r="J503" s="204">
        <f ca="1">IFERROR(__xludf.DUMMYFUNCTION("IMPORTRANGE(""https://docs.google.com/spreadsheets/d/1IYY_tgx_IHuhSq3AJ5eI5OnqOPBNLWSHKh2a30DoXe8/edit?usp=sharing"",""ยะลา!J398"")"),0)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IFERROR(__xludf.DUMMYFUNCTION("IMPORTRANGE(""https://docs.google.com/spreadsheets/d/1IYY_tgx_IHuhSq3AJ5eI5OnqOPBNLWSHKh2a30DoXe8/edit?usp=sharing"",""ยะลา!I399"")"),0)</f>
        <v>0</v>
      </c>
      <c r="J504" s="195">
        <f ca="1">IFERROR(__xludf.DUMMYFUNCTION("IMPORTRANGE(""https://docs.google.com/spreadsheets/d/1IYY_tgx_IHuhSq3AJ5eI5OnqOPBNLWSHKh2a30DoXe8/edit?usp=sharing"",""ยะลา!J399"")"),0)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IFERROR(__xludf.DUMMYFUNCTION("IMPORTRANGE(""https://docs.google.com/spreadsheets/d/1IYY_tgx_IHuhSq3AJ5eI5OnqOPBNLWSHKh2a30DoXe8/edit?usp=sharing"",""ยะลา!I400"")"),0)</f>
        <v>0</v>
      </c>
      <c r="J505" s="204">
        <f ca="1">IFERROR(__xludf.DUMMYFUNCTION("IMPORTRANGE(""https://docs.google.com/spreadsheets/d/1IYY_tgx_IHuhSq3AJ5eI5OnqOPBNLWSHKh2a30DoXe8/edit?usp=sharing"",""ยะลา!J400"")"),0)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IFERROR(__xludf.DUMMYFUNCTION("IMPORTRANGE(""https://docs.google.com/spreadsheets/d/1IYY_tgx_IHuhSq3AJ5eI5OnqOPBNLWSHKh2a30DoXe8/edit?usp=sharing"",""ยะลา!I401"")"),0)</f>
        <v>0</v>
      </c>
      <c r="J506" s="195">
        <f ca="1">IFERROR(__xludf.DUMMYFUNCTION("IMPORTRANGE(""https://docs.google.com/spreadsheets/d/1IYY_tgx_IHuhSq3AJ5eI5OnqOPBNLWSHKh2a30DoXe8/edit?usp=sharing"",""ยะลา!J401"")"),0)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IFERROR(__xludf.DUMMYFUNCTION("IMPORTRANGE(""https://docs.google.com/spreadsheets/d/1IYY_tgx_IHuhSq3AJ5eI5OnqOPBNLWSHKh2a30DoXe8/edit?usp=sharing"",""ยะลา!I402"")"),0)</f>
        <v>0</v>
      </c>
      <c r="J507" s="204">
        <f ca="1">IFERROR(__xludf.DUMMYFUNCTION("IMPORTRANGE(""https://docs.google.com/spreadsheets/d/1IYY_tgx_IHuhSq3AJ5eI5OnqOPBNLWSHKh2a30DoXe8/edit?usp=sharing"",""ยะลา!J402"")"),0)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IFERROR(__xludf.DUMMYFUNCTION("IMPORTRANGE(""https://docs.google.com/spreadsheets/d/1IYY_tgx_IHuhSq3AJ5eI5OnqOPBNLWSHKh2a30DoXe8/edit?usp=sharing"",""ยะลา!I403"")"),0)</f>
        <v>0</v>
      </c>
      <c r="J508" s="166">
        <f ca="1">IFERROR(__xludf.DUMMYFUNCTION("IMPORTRANGE(""https://docs.google.com/spreadsheets/d/1IYY_tgx_IHuhSq3AJ5eI5OnqOPBNLWSHKh2a30DoXe8/edit?usp=sharing"",""ยะลา!J403"")"),0)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IFERROR(__xludf.DUMMYFUNCTION("IMPORTRANGE(""https://docs.google.com/spreadsheets/d/1IYY_tgx_IHuhSq3AJ5eI5OnqOPBNLWSHKh2a30DoXe8/edit?usp=sharing"",""ยะลา!I404"")"),0)</f>
        <v>0</v>
      </c>
      <c r="J509" s="166">
        <f ca="1">IFERROR(__xludf.DUMMYFUNCTION("IMPORTRANGE(""https://docs.google.com/spreadsheets/d/1IYY_tgx_IHuhSq3AJ5eI5OnqOPBNLWSHKh2a30DoXe8/edit?usp=sharing"",""ยะลา!J404"")"),0)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IFERROR(__xludf.DUMMYFUNCTION("IMPORTRANGE(""https://docs.google.com/spreadsheets/d/1IYY_tgx_IHuhSq3AJ5eI5OnqOPBNLWSHKh2a30DoXe8/edit?usp=sharing"",""ยะลา!I405"")"),0)</f>
        <v>0</v>
      </c>
      <c r="J510" s="204">
        <f ca="1">IFERROR(__xludf.DUMMYFUNCTION("IMPORTRANGE(""https://docs.google.com/spreadsheets/d/1IYY_tgx_IHuhSq3AJ5eI5OnqOPBNLWSHKh2a30DoXe8/edit?usp=sharing"",""ยะลา!J405"")"),0)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IFERROR(__xludf.DUMMYFUNCTION("IMPORTRANGE(""https://docs.google.com/spreadsheets/d/1IYY_tgx_IHuhSq3AJ5eI5OnqOPBNLWSHKh2a30DoXe8/edit?usp=sharing"",""ยะลา!I406"")"),0)</f>
        <v>0</v>
      </c>
      <c r="J511" s="204">
        <f ca="1">IFERROR(__xludf.DUMMYFUNCTION("IMPORTRANGE(""https://docs.google.com/spreadsheets/d/1IYY_tgx_IHuhSq3AJ5eI5OnqOPBNLWSHKh2a30DoXe8/edit?usp=sharing"",""ยะลา!J406"")"),0)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IFERROR(__xludf.DUMMYFUNCTION("IMPORTRANGE(""https://docs.google.com/spreadsheets/d/1IYY_tgx_IHuhSq3AJ5eI5OnqOPBNLWSHKh2a30DoXe8/edit?usp=sharing"",""ยะลา!I407"")"),0)</f>
        <v>0</v>
      </c>
      <c r="J512" s="204">
        <f ca="1">IFERROR(__xludf.DUMMYFUNCTION("IMPORTRANGE(""https://docs.google.com/spreadsheets/d/1IYY_tgx_IHuhSq3AJ5eI5OnqOPBNLWSHKh2a30DoXe8/edit?usp=sharing"",""ยะลา!J407"")"),0)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IFERROR(__xludf.DUMMYFUNCTION("IMPORTRANGE(""https://docs.google.com/spreadsheets/d/1IYY_tgx_IHuhSq3AJ5eI5OnqOPBNLWSHKh2a30DoXe8/edit?usp=sharing"",""ยะลา!I408"")"),0)</f>
        <v>0</v>
      </c>
      <c r="J513" s="204">
        <f ca="1">IFERROR(__xludf.DUMMYFUNCTION("IMPORTRANGE(""https://docs.google.com/spreadsheets/d/1IYY_tgx_IHuhSq3AJ5eI5OnqOPBNLWSHKh2a30DoXe8/edit?usp=sharing"",""ยะลา!J408"")"),0)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IFERROR(__xludf.DUMMYFUNCTION("IMPORTRANGE(""https://docs.google.com/spreadsheets/d/1IYY_tgx_IHuhSq3AJ5eI5OnqOPBNLWSHKh2a30DoXe8/edit?usp=sharing"",""ยะลา!I409"")"),0)</f>
        <v>0</v>
      </c>
      <c r="J514" s="204">
        <f ca="1">IFERROR(__xludf.DUMMYFUNCTION("IMPORTRANGE(""https://docs.google.com/spreadsheets/d/1IYY_tgx_IHuhSq3AJ5eI5OnqOPBNLWSHKh2a30DoXe8/edit?usp=sharing"",""ยะลา!J409"")"),0)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IFERROR(__xludf.DUMMYFUNCTION("IMPORTRANGE(""https://docs.google.com/spreadsheets/d/1IYY_tgx_IHuhSq3AJ5eI5OnqOPBNLWSHKh2a30DoXe8/edit?usp=sharing"",""ยะลา!I410"")"),0)</f>
        <v>0</v>
      </c>
      <c r="J515" s="204">
        <f ca="1">IFERROR(__xludf.DUMMYFUNCTION("IMPORTRANGE(""https://docs.google.com/spreadsheets/d/1IYY_tgx_IHuhSq3AJ5eI5OnqOPBNLWSHKh2a30DoXe8/edit?usp=sharing"",""ยะลา!J410"")"),0)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IFERROR(__xludf.DUMMYFUNCTION("IMPORTRANGE(""https://docs.google.com/spreadsheets/d/1IYY_tgx_IHuhSq3AJ5eI5OnqOPBNLWSHKh2a30DoXe8/edit?usp=sharing"",""ยะลา!I411"")"),0)</f>
        <v>0</v>
      </c>
      <c r="J516" s="273">
        <f ca="1">IFERROR(__xludf.DUMMYFUNCTION("IMPORTRANGE(""https://docs.google.com/spreadsheets/d/1IYY_tgx_IHuhSq3AJ5eI5OnqOPBNLWSHKh2a30DoXe8/edit?usp=sharing"",""ยะลา!J411"")"),0)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IFERROR(__xludf.DUMMYFUNCTION("IMPORTRANGE(""https://docs.google.com/spreadsheets/d/1IYY_tgx_IHuhSq3AJ5eI5OnqOPBNLWSHKh2a30DoXe8/edit?usp=sharing"",""ยะลา!I412"")"),0)</f>
        <v>0</v>
      </c>
      <c r="J517" s="290">
        <f ca="1">IFERROR(__xludf.DUMMYFUNCTION("IMPORTRANGE(""https://docs.google.com/spreadsheets/d/1IYY_tgx_IHuhSq3AJ5eI5OnqOPBNLWSHKh2a30DoXe8/edit?usp=sharing"",""ยะลา!J412"")"),0)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IFERROR(__xludf.DUMMYFUNCTION("IMPORTRANGE(""https://docs.google.com/spreadsheets/d/1IYY_tgx_IHuhSq3AJ5eI5OnqOPBNLWSHKh2a30DoXe8/edit?usp=sharing"",""ยะลา!I413"")"),0)</f>
        <v>0</v>
      </c>
      <c r="J518" s="290">
        <f ca="1">IFERROR(__xludf.DUMMYFUNCTION("IMPORTRANGE(""https://docs.google.com/spreadsheets/d/1IYY_tgx_IHuhSq3AJ5eI5OnqOPBNLWSHKh2a30DoXe8/edit?usp=sharing"",""ยะลา!J413"")"),0)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IFERROR(__xludf.DUMMYFUNCTION("IMPORTRANGE(""https://docs.google.com/spreadsheets/d/1IYY_tgx_IHuhSq3AJ5eI5OnqOPBNLWSHKh2a30DoXe8/edit?usp=sharing"",""ยะลา!I414"")"),0)</f>
        <v>0</v>
      </c>
      <c r="J519" s="194">
        <f ca="1">IFERROR(__xludf.DUMMYFUNCTION("IMPORTRANGE(""https://docs.google.com/spreadsheets/d/1IYY_tgx_IHuhSq3AJ5eI5OnqOPBNLWSHKh2a30DoXe8/edit?usp=sharing"",""ยะลา!J414"")"),0)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IFERROR(__xludf.DUMMYFUNCTION("IMPORTRANGE(""https://docs.google.com/spreadsheets/d/1IYY_tgx_IHuhSq3AJ5eI5OnqOPBNLWSHKh2a30DoXe8/edit?usp=sharing"",""ยะลา!I415"")"),0)</f>
        <v>0</v>
      </c>
      <c r="J520" s="194">
        <f ca="1">IFERROR(__xludf.DUMMYFUNCTION("IMPORTRANGE(""https://docs.google.com/spreadsheets/d/1IYY_tgx_IHuhSq3AJ5eI5OnqOPBNLWSHKh2a30DoXe8/edit?usp=sharing"",""ยะลา!J415"")"),0)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IFERROR(__xludf.DUMMYFUNCTION("IMPORTRANGE(""https://docs.google.com/spreadsheets/d/1IYY_tgx_IHuhSq3AJ5eI5OnqOPBNLWSHKh2a30DoXe8/edit?usp=sharing"",""ยะลา!I416"")"),0)</f>
        <v>0</v>
      </c>
      <c r="J521" s="194">
        <f ca="1">IFERROR(__xludf.DUMMYFUNCTION("IMPORTRANGE(""https://docs.google.com/spreadsheets/d/1IYY_tgx_IHuhSq3AJ5eI5OnqOPBNLWSHKh2a30DoXe8/edit?usp=sharing"",""ยะลา!J416"")"),0)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IFERROR(__xludf.DUMMYFUNCTION("IMPORTRANGE(""https://docs.google.com/spreadsheets/d/1IYY_tgx_IHuhSq3AJ5eI5OnqOPBNLWSHKh2a30DoXe8/edit?usp=sharing"",""ยะลา!I417"")"),0)</f>
        <v>0</v>
      </c>
      <c r="J522" s="194">
        <f ca="1">IFERROR(__xludf.DUMMYFUNCTION("IMPORTRANGE(""https://docs.google.com/spreadsheets/d/1IYY_tgx_IHuhSq3AJ5eI5OnqOPBNLWSHKh2a30DoXe8/edit?usp=sharing"",""ยะลา!J417"")"),0)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IFERROR(__xludf.DUMMYFUNCTION("IMPORTRANGE(""https://docs.google.com/spreadsheets/d/1IYY_tgx_IHuhSq3AJ5eI5OnqOPBNLWSHKh2a30DoXe8/edit?usp=sharing"",""ยะลา!I418"")"),0)</f>
        <v>0</v>
      </c>
      <c r="J523" s="194">
        <f ca="1">IFERROR(__xludf.DUMMYFUNCTION("IMPORTRANGE(""https://docs.google.com/spreadsheets/d/1IYY_tgx_IHuhSq3AJ5eI5OnqOPBNLWSHKh2a30DoXe8/edit?usp=sharing"",""ยะลา!J418"")"),0)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IFERROR(__xludf.DUMMYFUNCTION("IMPORTRANGE(""https://docs.google.com/spreadsheets/d/1IYY_tgx_IHuhSq3AJ5eI5OnqOPBNLWSHKh2a30DoXe8/edit?usp=sharing"",""ยะลา!I419"")"),0)</f>
        <v>0</v>
      </c>
      <c r="J524" s="194">
        <f ca="1">IFERROR(__xludf.DUMMYFUNCTION("IMPORTRANGE(""https://docs.google.com/spreadsheets/d/1IYY_tgx_IHuhSq3AJ5eI5OnqOPBNLWSHKh2a30DoXe8/edit?usp=sharing"",""ยะลา!J419"")"),0)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IFERROR(__xludf.DUMMYFUNCTION("IMPORTRANGE(""https://docs.google.com/spreadsheets/d/1IYY_tgx_IHuhSq3AJ5eI5OnqOPBNLWSHKh2a30DoXe8/edit?usp=sharing"",""ยะลา!I420"")"),0)</f>
        <v>0</v>
      </c>
      <c r="J525" s="290">
        <f ca="1">IFERROR(__xludf.DUMMYFUNCTION("IMPORTRANGE(""https://docs.google.com/spreadsheets/d/1IYY_tgx_IHuhSq3AJ5eI5OnqOPBNLWSHKh2a30DoXe8/edit?usp=sharing"",""ยะลา!J420"")"),0)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IFERROR(__xludf.DUMMYFUNCTION("IMPORTRANGE(""https://docs.google.com/spreadsheets/d/1IYY_tgx_IHuhSq3AJ5eI5OnqOPBNLWSHKh2a30DoXe8/edit?usp=sharing"",""ยะลา!I421"")"),0)</f>
        <v>0</v>
      </c>
      <c r="J526" s="290">
        <f ca="1">IFERROR(__xludf.DUMMYFUNCTION("IMPORTRANGE(""https://docs.google.com/spreadsheets/d/1IYY_tgx_IHuhSq3AJ5eI5OnqOPBNLWSHKh2a30DoXe8/edit?usp=sharing"",""ยะลา!J421"")"),0)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IFERROR(__xludf.DUMMYFUNCTION("IMPORTRANGE(""https://docs.google.com/spreadsheets/d/1IYY_tgx_IHuhSq3AJ5eI5OnqOPBNLWSHKh2a30DoXe8/edit?usp=sharing"",""ยะลา!I422"")"),0)</f>
        <v>0</v>
      </c>
      <c r="J527" s="204">
        <f ca="1">IFERROR(__xludf.DUMMYFUNCTION("IMPORTRANGE(""https://docs.google.com/spreadsheets/d/1IYY_tgx_IHuhSq3AJ5eI5OnqOPBNLWSHKh2a30DoXe8/edit?usp=sharing"",""ยะลา!J422"")"),0)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IFERROR(__xludf.DUMMYFUNCTION("IMPORTRANGE(""https://docs.google.com/spreadsheets/d/1IYY_tgx_IHuhSq3AJ5eI5OnqOPBNLWSHKh2a30DoXe8/edit?usp=sharing"",""ยะลา!I423"")"),0)</f>
        <v>0</v>
      </c>
      <c r="J528" s="204">
        <f ca="1">IFERROR(__xludf.DUMMYFUNCTION("IMPORTRANGE(""https://docs.google.com/spreadsheets/d/1IYY_tgx_IHuhSq3AJ5eI5OnqOPBNLWSHKh2a30DoXe8/edit?usp=sharing"",""ยะลา!J423"")"),0)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IFERROR(__xludf.DUMMYFUNCTION("IMPORTRANGE(""https://docs.google.com/spreadsheets/d/1IYY_tgx_IHuhSq3AJ5eI5OnqOPBNLWSHKh2a30DoXe8/edit?usp=sharing"",""ยะลา!I424"")"),0)</f>
        <v>0</v>
      </c>
      <c r="J529" s="204">
        <f ca="1">IFERROR(__xludf.DUMMYFUNCTION("IMPORTRANGE(""https://docs.google.com/spreadsheets/d/1IYY_tgx_IHuhSq3AJ5eI5OnqOPBNLWSHKh2a30DoXe8/edit?usp=sharing"",""ยะลา!J424"")"),0)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IFERROR(__xludf.DUMMYFUNCTION("IMPORTRANGE(""https://docs.google.com/spreadsheets/d/1IYY_tgx_IHuhSq3AJ5eI5OnqOPBNLWSHKh2a30DoXe8/edit?usp=sharing"",""ยะลา!I425"")"),0)</f>
        <v>0</v>
      </c>
      <c r="J530" s="204">
        <f ca="1">IFERROR(__xludf.DUMMYFUNCTION("IMPORTRANGE(""https://docs.google.com/spreadsheets/d/1IYY_tgx_IHuhSq3AJ5eI5OnqOPBNLWSHKh2a30DoXe8/edit?usp=sharing"",""ยะลา!J425"")"),0)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IFERROR(__xludf.DUMMYFUNCTION("IMPORTRANGE(""https://docs.google.com/spreadsheets/d/1IYY_tgx_IHuhSq3AJ5eI5OnqOPBNLWSHKh2a30DoXe8/edit?usp=sharing"",""ยะลา!I426"")"),0)</f>
        <v>0</v>
      </c>
      <c r="J531" s="204">
        <f ca="1">IFERROR(__xludf.DUMMYFUNCTION("IMPORTRANGE(""https://docs.google.com/spreadsheets/d/1IYY_tgx_IHuhSq3AJ5eI5OnqOPBNLWSHKh2a30DoXe8/edit?usp=sharing"",""ยะลา!J426"")"),0)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IFERROR(__xludf.DUMMYFUNCTION("IMPORTRANGE(""https://docs.google.com/spreadsheets/d/1IYY_tgx_IHuhSq3AJ5eI5OnqOPBNLWSHKh2a30DoXe8/edit?usp=sharing"",""ยะลา!I427"")"),0)</f>
        <v>0</v>
      </c>
      <c r="J532" s="472">
        <f ca="1">IFERROR(__xludf.DUMMYFUNCTION("IMPORTRANGE(""https://docs.google.com/spreadsheets/d/1IYY_tgx_IHuhSq3AJ5eI5OnqOPBNLWSHKh2a30DoXe8/edit?usp=sharing"",""ยะลา!J427"")"),0)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IFERROR(__xludf.DUMMYFUNCTION("IMPORTRANGE(""https://docs.google.com/spreadsheets/d/1IYY_tgx_IHuhSq3AJ5eI5OnqOPBNLWSHKh2a30DoXe8/edit?usp=sharing"",""ยะลา!I428"")"),16)</f>
        <v>16</v>
      </c>
      <c r="J533" s="416">
        <f ca="1">IFERROR(__xludf.DUMMYFUNCTION("IMPORTRANGE(""https://docs.google.com/spreadsheets/d/1IYY_tgx_IHuhSq3AJ5eI5OnqOPBNLWSHKh2a30DoXe8/edit?usp=sharing"",""ยะลา!J428"")"),16)</f>
        <v>16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IFERROR(__xludf.DUMMYFUNCTION("IMPORTRANGE(""https://docs.google.com/spreadsheets/d/1IYY_tgx_IHuhSq3AJ5eI5OnqOPBNLWSHKh2a30DoXe8/edit?usp=sharing"",""ยะลา!L428"")"),29240)</f>
        <v>29240</v>
      </c>
      <c r="M533" s="418"/>
      <c r="N533" s="418">
        <f ca="1">IFERROR(__xludf.DUMMYFUNCTION("IMPORTRANGE(""https://docs.google.com/spreadsheets/d/1IYY_tgx_IHuhSq3AJ5eI5OnqOPBNLWSHKh2a30DoXe8/edit?usp=sharing"",""ยะลา!M428"")"),16350)</f>
        <v>16350</v>
      </c>
      <c r="O533" s="418">
        <f t="shared" ref="O533:O537" ca="1" si="118">+IF(L533&gt;0,N533*100/L533,0)</f>
        <v>55.916552667578657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IFERROR(__xludf.DUMMYFUNCTION("IMPORTRANGE(""https://docs.google.com/spreadsheets/d/1IYY_tgx_IHuhSq3AJ5eI5OnqOPBNLWSHKh2a30DoXe8/edit?usp=sharing"",""ยะลา!L429"")"),0)</f>
        <v>0</v>
      </c>
      <c r="M534" s="168"/>
      <c r="N534" s="175">
        <f ca="1">IFERROR(__xludf.DUMMYFUNCTION("IMPORTRANGE(""https://docs.google.com/spreadsheets/d/1IYY_tgx_IHuhSq3AJ5eI5OnqOPBNLWSHKh2a30DoXe8/edit?usp=sharing"",""ยะลา!M429"")"),0)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IFERROR(__xludf.DUMMYFUNCTION("IMPORTRANGE(""https://docs.google.com/spreadsheets/d/1IYY_tgx_IHuhSq3AJ5eI5OnqOPBNLWSHKh2a30DoXe8/edit?usp=sharing"",""ยะลา!L430"")"),29240)</f>
        <v>29240</v>
      </c>
      <c r="M535" s="169"/>
      <c r="N535" s="175">
        <f ca="1">IFERROR(__xludf.DUMMYFUNCTION("IMPORTRANGE(""https://docs.google.com/spreadsheets/d/1IYY_tgx_IHuhSq3AJ5eI5OnqOPBNLWSHKh2a30DoXe8/edit?usp=sharing"",""ยะลา!M430"")"),16350)</f>
        <v>16350</v>
      </c>
      <c r="O535" s="175">
        <f t="shared" ca="1" si="118"/>
        <v>55.916552667578657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IFERROR(__xludf.DUMMYFUNCTION("IMPORTRANGE(""https://docs.google.com/spreadsheets/d/1IYY_tgx_IHuhSq3AJ5eI5OnqOPBNLWSHKh2a30DoXe8/edit?usp=sharing"",""ยะลา!L431"")"),0)</f>
        <v>0</v>
      </c>
      <c r="M536" s="175"/>
      <c r="N536" s="175">
        <f ca="1">IFERROR(__xludf.DUMMYFUNCTION("IMPORTRANGE(""https://docs.google.com/spreadsheets/d/1IYY_tgx_IHuhSq3AJ5eI5OnqOPBNLWSHKh2a30DoXe8/edit?usp=sharing"",""ยะลา!M431"")"),0)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IFERROR(__xludf.DUMMYFUNCTION("IMPORTRANGE(""https://docs.google.com/spreadsheets/d/1IYY_tgx_IHuhSq3AJ5eI5OnqOPBNLWSHKh2a30DoXe8/edit?usp=sharing"",""ยะลา!L432"")"),29240)</f>
        <v>29240</v>
      </c>
      <c r="M537" s="175"/>
      <c r="N537" s="175">
        <f ca="1">IFERROR(__xludf.DUMMYFUNCTION("IMPORTRANGE(""https://docs.google.com/spreadsheets/d/1IYY_tgx_IHuhSq3AJ5eI5OnqOPBNLWSHKh2a30DoXe8/edit?usp=sharing"",""ยะลา!M432"")"),16350)</f>
        <v>16350</v>
      </c>
      <c r="O537" s="175">
        <f t="shared" ca="1" si="118"/>
        <v>55.916552667578657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IFERROR(__xludf.DUMMYFUNCTION("IMPORTRANGE(""https://docs.google.com/spreadsheets/d/1IYY_tgx_IHuhSq3AJ5eI5OnqOPBNLWSHKh2a30DoXe8/edit?usp=sharing"",""ยะลา!M433"")"),11010)</f>
        <v>11010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IFERROR(__xludf.DUMMYFUNCTION("IMPORTRANGE(""https://docs.google.com/spreadsheets/d/1IYY_tgx_IHuhSq3AJ5eI5OnqOPBNLWSHKh2a30DoXe8/edit?usp=sharing"",""ยะลา!M434"")"),0)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IFERROR(__xludf.DUMMYFUNCTION("IMPORTRANGE(""https://docs.google.com/spreadsheets/d/1IYY_tgx_IHuhSq3AJ5eI5OnqOPBNLWSHKh2a30DoXe8/edit?usp=sharing"",""ยะลา!M435"")"),0)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IFERROR(__xludf.DUMMYFUNCTION("IMPORTRANGE(""https://docs.google.com/spreadsheets/d/1IYY_tgx_IHuhSq3AJ5eI5OnqOPBNLWSHKh2a30DoXe8/edit?usp=sharing"",""ยะลา!M436"")"),5340)</f>
        <v>5340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IFERROR(__xludf.DUMMYFUNCTION("IMPORTRANGE(""https://docs.google.com/spreadsheets/d/1IYY_tgx_IHuhSq3AJ5eI5OnqOPBNLWSHKh2a30DoXe8/edit?usp=sharing"",""ยะลา!J438"")"),0)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IFERROR(__xludf.DUMMYFUNCTION("IMPORTRANGE(""https://docs.google.com/spreadsheets/d/1IYY_tgx_IHuhSq3AJ5eI5OnqOPBNLWSHKh2a30DoXe8/edit?usp=sharing"",""ยะลา!J439"")"),1)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IFERROR(__xludf.DUMMYFUNCTION("IMPORTRANGE(""https://docs.google.com/spreadsheets/d/1IYY_tgx_IHuhSq3AJ5eI5OnqOPBNLWSHKh2a30DoXe8/edit?usp=sharing"",""ยะลา!J440"")"),1)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IFERROR(__xludf.DUMMYFUNCTION("IMPORTRANGE(""https://docs.google.com/spreadsheets/d/1IYY_tgx_IHuhSq3AJ5eI5OnqOPBNLWSHKh2a30DoXe8/edit?usp=sharing"",""ยะลา!J441"")"),1)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IFERROR(__xludf.DUMMYFUNCTION("IMPORTRANGE(""https://docs.google.com/spreadsheets/d/1IYY_tgx_IHuhSq3AJ5eI5OnqOPBNLWSHKh2a30DoXe8/edit?usp=sharing"",""ยะลา!I442"")"),16)</f>
        <v>16</v>
      </c>
      <c r="J547" s="195">
        <f ca="1">IFERROR(__xludf.DUMMYFUNCTION("IMPORTRANGE(""https://docs.google.com/spreadsheets/d/1IYY_tgx_IHuhSq3AJ5eI5OnqOPBNLWSHKh2a30DoXe8/edit?usp=sharing"",""ยะลา!J442"")"),16)</f>
        <v>16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IFERROR(__xludf.DUMMYFUNCTION("IMPORTRANGE(""https://docs.google.com/spreadsheets/d/1IYY_tgx_IHuhSq3AJ5eI5OnqOPBNLWSHKh2a30DoXe8/edit?usp=sharing"",""ยะลา!J166"")"),0)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IFERROR(__xludf.DUMMYFUNCTION("IMPORTRANGE(""https://docs.google.com/spreadsheets/d/1IYY_tgx_IHuhSq3AJ5eI5OnqOPBNLWSHKh2a30DoXe8/edit?usp=sharing"",""ยะลา!J444"")"),0)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IFERROR(__xludf.DUMMYFUNCTION("IMPORTRANGE(""https://docs.google.com/spreadsheets/d/1IYY_tgx_IHuhSq3AJ5eI5OnqOPBNLWSHKh2a30DoXe8/edit?usp=sharing"",""ยะลา!J445"")"),0)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IFERROR(__xludf.DUMMYFUNCTION("IMPORTRANGE(""https://docs.google.com/spreadsheets/d/1IYY_tgx_IHuhSq3AJ5eI5OnqOPBNLWSHKh2a30DoXe8/edit?usp=sharing"",""ยะลา!I446"")"),0)</f>
        <v>0</v>
      </c>
      <c r="J551" s="416">
        <f ca="1">IFERROR(__xludf.DUMMYFUNCTION("IMPORTRANGE(""https://docs.google.com/spreadsheets/d/1IYY_tgx_IHuhSq3AJ5eI5OnqOPBNLWSHKh2a30DoXe8/edit?usp=sharing"",""ยะลา!J446"")"),0)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IFERROR(__xludf.DUMMYFUNCTION("IMPORTRANGE(""https://docs.google.com/spreadsheets/d/1IYY_tgx_IHuhSq3AJ5eI5OnqOPBNLWSHKh2a30DoXe8/edit?usp=sharing"",""ยะลา!L446"")"),0)</f>
        <v>0</v>
      </c>
      <c r="M551" s="418"/>
      <c r="N551" s="418">
        <f ca="1">IFERROR(__xludf.DUMMYFUNCTION("IMPORTRANGE(""https://docs.google.com/spreadsheets/d/1IYY_tgx_IHuhSq3AJ5eI5OnqOPBNLWSHKh2a30DoXe8/edit?usp=sharing"",""ยะลา!M446"")"),0)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IFERROR(__xludf.DUMMYFUNCTION("IMPORTRANGE(""https://docs.google.com/spreadsheets/d/1IYY_tgx_IHuhSq3AJ5eI5OnqOPBNLWSHKh2a30DoXe8/edit?usp=sharing"",""ยะลา!L447"")"),0)</f>
        <v>0</v>
      </c>
      <c r="M552" s="168"/>
      <c r="N552" s="175">
        <f ca="1">IFERROR(__xludf.DUMMYFUNCTION("IMPORTRANGE(""https://docs.google.com/spreadsheets/d/1IYY_tgx_IHuhSq3AJ5eI5OnqOPBNLWSHKh2a30DoXe8/edit?usp=sharing"",""ยะลา!M447"")"),0)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IFERROR(__xludf.DUMMYFUNCTION("IMPORTRANGE(""https://docs.google.com/spreadsheets/d/1IYY_tgx_IHuhSq3AJ5eI5OnqOPBNLWSHKh2a30DoXe8/edit?usp=sharing"",""ยะลา!L448"")"),0)</f>
        <v>0</v>
      </c>
      <c r="M553" s="169"/>
      <c r="N553" s="175">
        <f ca="1">IFERROR(__xludf.DUMMYFUNCTION("IMPORTRANGE(""https://docs.google.com/spreadsheets/d/1IYY_tgx_IHuhSq3AJ5eI5OnqOPBNLWSHKh2a30DoXe8/edit?usp=sharing"",""ยะลา!M448"")"),0)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IFERROR(__xludf.DUMMYFUNCTION("IMPORTRANGE(""https://docs.google.com/spreadsheets/d/1IYY_tgx_IHuhSq3AJ5eI5OnqOPBNLWSHKh2a30DoXe8/edit?usp=sharing"",""ยะลา!L449"")"),0)</f>
        <v>0</v>
      </c>
      <c r="M554" s="175"/>
      <c r="N554" s="175">
        <f ca="1">IFERROR(__xludf.DUMMYFUNCTION("IMPORTRANGE(""https://docs.google.com/spreadsheets/d/1IYY_tgx_IHuhSq3AJ5eI5OnqOPBNLWSHKh2a30DoXe8/edit?usp=sharing"",""ยะลา!M449"")"),0)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IFERROR(__xludf.DUMMYFUNCTION("IMPORTRANGE(""https://docs.google.com/spreadsheets/d/1IYY_tgx_IHuhSq3AJ5eI5OnqOPBNLWSHKh2a30DoXe8/edit?usp=sharing"",""ยะลา!L450"")"),0)</f>
        <v>0</v>
      </c>
      <c r="M555" s="175"/>
      <c r="N555" s="175">
        <f ca="1">IFERROR(__xludf.DUMMYFUNCTION("IMPORTRANGE(""https://docs.google.com/spreadsheets/d/1IYY_tgx_IHuhSq3AJ5eI5OnqOPBNLWSHKh2a30DoXe8/edit?usp=sharing"",""ยะลา!M450"")"),0)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IFERROR(__xludf.DUMMYFUNCTION("IMPORTRANGE(""https://docs.google.com/spreadsheets/d/1IYY_tgx_IHuhSq3AJ5eI5OnqOPBNLWSHKh2a30DoXe8/edit?usp=sharing"",""ยะลา!M451"")"),0)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IFERROR(__xludf.DUMMYFUNCTION("IMPORTRANGE(""https://docs.google.com/spreadsheets/d/1IYY_tgx_IHuhSq3AJ5eI5OnqOPBNLWSHKh2a30DoXe8/edit?usp=sharing"",""ยะลา!M452"")"),0)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IFERROR(__xludf.DUMMYFUNCTION("IMPORTRANGE(""https://docs.google.com/spreadsheets/d/1IYY_tgx_IHuhSq3AJ5eI5OnqOPBNLWSHKh2a30DoXe8/edit?usp=sharing"",""ยะลา!M453"")"),0)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IFERROR(__xludf.DUMMYFUNCTION("IMPORTRANGE(""https://docs.google.com/spreadsheets/d/1IYY_tgx_IHuhSq3AJ5eI5OnqOPBNLWSHKh2a30DoXe8/edit?usp=sharing"",""ยะลา!M454"")"),0)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IFERROR(__xludf.DUMMYFUNCTION("IMPORTRANGE(""https://docs.google.com/spreadsheets/d/1IYY_tgx_IHuhSq3AJ5eI5OnqOPBNLWSHKh2a30DoXe8/edit?usp=sharing"",""ยะลา!I455"")"),0)</f>
        <v>0</v>
      </c>
      <c r="J560" s="166">
        <f ca="1">IFERROR(__xludf.DUMMYFUNCTION("IMPORTRANGE(""https://docs.google.com/spreadsheets/d/1IYY_tgx_IHuhSq3AJ5eI5OnqOPBNLWSHKh2a30DoXe8/edit?usp=sharing"",""ยะลา!J455"")"),0)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IFERROR(__xludf.DUMMYFUNCTION("IMPORTRANGE(""https://docs.google.com/spreadsheets/d/1IYY_tgx_IHuhSq3AJ5eI5OnqOPBNLWSHKh2a30DoXe8/edit?usp=sharing"",""ยะลา!I456"")"),0)</f>
        <v>0</v>
      </c>
      <c r="J561" s="210">
        <f ca="1">IFERROR(__xludf.DUMMYFUNCTION("IMPORTRANGE(""https://docs.google.com/spreadsheets/d/1IYY_tgx_IHuhSq3AJ5eI5OnqOPBNLWSHKh2a30DoXe8/edit?usp=sharing"",""ยะลา!J456"")"),0)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IFERROR(__xludf.DUMMYFUNCTION("IMPORTRANGE(""https://docs.google.com/spreadsheets/d/1IYY_tgx_IHuhSq3AJ5eI5OnqOPBNLWSHKh2a30DoXe8/edit?usp=sharing"",""ยะลา!I459"")"),150)</f>
        <v>150</v>
      </c>
      <c r="J564" s="377">
        <f ca="1">IFERROR(__xludf.DUMMYFUNCTION("IMPORTRANGE(""https://docs.google.com/spreadsheets/d/1IYY_tgx_IHuhSq3AJ5eI5OnqOPBNLWSHKh2a30DoXe8/edit?usp=sharing"",""ยะลา!J459"")"),250)</f>
        <v>250</v>
      </c>
      <c r="K564" s="378">
        <f ca="1">IF(I564&gt;0,J564*100/I564,0)</f>
        <v>166.66666666666666</v>
      </c>
      <c r="L564" s="379">
        <f ca="1">IFERROR(__xludf.DUMMYFUNCTION("IMPORTRANGE(""https://docs.google.com/spreadsheets/d/1IYY_tgx_IHuhSq3AJ5eI5OnqOPBNLWSHKh2a30DoXe8/edit?usp=sharing"",""ยะลา!L459"")"),123680)</f>
        <v>123680</v>
      </c>
      <c r="M564" s="379"/>
      <c r="N564" s="379">
        <f ca="1">IFERROR(__xludf.DUMMYFUNCTION("IMPORTRANGE(""https://docs.google.com/spreadsheets/d/1IYY_tgx_IHuhSq3AJ5eI5OnqOPBNLWSHKh2a30DoXe8/edit?usp=sharing"",""ยะลา!M459"")"),61388.81)</f>
        <v>61388.81</v>
      </c>
      <c r="O564" s="379">
        <f t="shared" ref="O564:O568" ca="1" si="122">+IF(L564&gt;0,N564*100/L564,0)</f>
        <v>49.635195666235447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IFERROR(__xludf.DUMMYFUNCTION("IMPORTRANGE(""https://docs.google.com/spreadsheets/d/1IYY_tgx_IHuhSq3AJ5eI5OnqOPBNLWSHKh2a30DoXe8/edit?usp=sharing"",""ยะลา!L460"")"),0)</f>
        <v>0</v>
      </c>
      <c r="M565" s="168"/>
      <c r="N565" s="175">
        <f ca="1">IFERROR(__xludf.DUMMYFUNCTION("IMPORTRANGE(""https://docs.google.com/spreadsheets/d/1IYY_tgx_IHuhSq3AJ5eI5OnqOPBNLWSHKh2a30DoXe8/edit?usp=sharing"",""ยะลา!M460"")"),0)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IFERROR(__xludf.DUMMYFUNCTION("IMPORTRANGE(""https://docs.google.com/spreadsheets/d/1IYY_tgx_IHuhSq3AJ5eI5OnqOPBNLWSHKh2a30DoXe8/edit?usp=sharing"",""ยะลา!L461"")"),123680)</f>
        <v>123680</v>
      </c>
      <c r="M566" s="169"/>
      <c r="N566" s="175">
        <f ca="1">IFERROR(__xludf.DUMMYFUNCTION("IMPORTRANGE(""https://docs.google.com/spreadsheets/d/1IYY_tgx_IHuhSq3AJ5eI5OnqOPBNLWSHKh2a30DoXe8/edit?usp=sharing"",""ยะลา!M461"")"),61388.81)</f>
        <v>61388.81</v>
      </c>
      <c r="O566" s="175">
        <f t="shared" ca="1" si="122"/>
        <v>49.635195666235447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IFERROR(__xludf.DUMMYFUNCTION("IMPORTRANGE(""https://docs.google.com/spreadsheets/d/1IYY_tgx_IHuhSq3AJ5eI5OnqOPBNLWSHKh2a30DoXe8/edit?usp=sharing"",""ยะลา!L462"")"),0)</f>
        <v>0</v>
      </c>
      <c r="M567" s="175"/>
      <c r="N567" s="175">
        <f ca="1">IFERROR(__xludf.DUMMYFUNCTION("IMPORTRANGE(""https://docs.google.com/spreadsheets/d/1IYY_tgx_IHuhSq3AJ5eI5OnqOPBNLWSHKh2a30DoXe8/edit?usp=sharing"",""ยะลา!M462"")"),0)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IFERROR(__xludf.DUMMYFUNCTION("IMPORTRANGE(""https://docs.google.com/spreadsheets/d/1IYY_tgx_IHuhSq3AJ5eI5OnqOPBNLWSHKh2a30DoXe8/edit?usp=sharing"",""ยะลา!L463"")"),123680)</f>
        <v>123680</v>
      </c>
      <c r="M568" s="175"/>
      <c r="N568" s="175">
        <f ca="1">IFERROR(__xludf.DUMMYFUNCTION("IMPORTRANGE(""https://docs.google.com/spreadsheets/d/1IYY_tgx_IHuhSq3AJ5eI5OnqOPBNLWSHKh2a30DoXe8/edit?usp=sharing"",""ยะลา!M463"")"),61388.81)</f>
        <v>61388.81</v>
      </c>
      <c r="O568" s="175">
        <f t="shared" ca="1" si="122"/>
        <v>49.635195666235447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IFERROR(__xludf.DUMMYFUNCTION("IMPORTRANGE(""https://docs.google.com/spreadsheets/d/1IYY_tgx_IHuhSq3AJ5eI5OnqOPBNLWSHKh2a30DoXe8/edit?usp=sharing"",""ยะลา!M464"")"),0)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IFERROR(__xludf.DUMMYFUNCTION("IMPORTRANGE(""https://docs.google.com/spreadsheets/d/1IYY_tgx_IHuhSq3AJ5eI5OnqOPBNLWSHKh2a30DoXe8/edit?usp=sharing"",""ยะลา!M465"")"),0)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IFERROR(__xludf.DUMMYFUNCTION("IMPORTRANGE(""https://docs.google.com/spreadsheets/d/1IYY_tgx_IHuhSq3AJ5eI5OnqOPBNLWSHKh2a30DoXe8/edit?usp=sharing"",""ยะลา!M466"")"),53568.81)</f>
        <v>53568.81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IFERROR(__xludf.DUMMYFUNCTION("IMPORTRANGE(""https://docs.google.com/spreadsheets/d/1IYY_tgx_IHuhSq3AJ5eI5OnqOPBNLWSHKh2a30DoXe8/edit?usp=sharing"",""ยะลา!M467"")"),7820)</f>
        <v>7820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IFERROR(__xludf.DUMMYFUNCTION("IMPORTRANGE(""https://docs.google.com/spreadsheets/d/1IYY_tgx_IHuhSq3AJ5eI5OnqOPBNLWSHKh2a30DoXe8/edit?usp=sharing"",""ยะลา!I468"")"),150)</f>
        <v>150</v>
      </c>
      <c r="J573" s="426">
        <f ca="1">IFERROR(__xludf.DUMMYFUNCTION("IMPORTRANGE(""https://docs.google.com/spreadsheets/d/1IYY_tgx_IHuhSq3AJ5eI5OnqOPBNLWSHKh2a30DoXe8/edit?usp=sharing"",""ยะลา!J468"")"),250)</f>
        <v>250</v>
      </c>
      <c r="K573" s="208">
        <f ca="1">IF(I573&gt;0,J573*100/I573,0)</f>
        <v>166.66666666666666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IFERROR(__xludf.DUMMYFUNCTION("IMPORTRANGE(""https://docs.google.com/spreadsheets/d/1IYY_tgx_IHuhSq3AJ5eI5OnqOPBNLWSHKh2a30DoXe8/edit?usp=sharing"",""ยะลา!I470"")"),0)</f>
        <v>0</v>
      </c>
      <c r="J575" s="204">
        <f ca="1">IFERROR(__xludf.DUMMYFUNCTION("IMPORTRANGE(""https://docs.google.com/spreadsheets/d/1IYY_tgx_IHuhSq3AJ5eI5OnqOPBNLWSHKh2a30DoXe8/edit?usp=sharing"",""ยะลา!J470"")"),2)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IFERROR(__xludf.DUMMYFUNCTION("IMPORTRANGE(""https://docs.google.com/spreadsheets/d/1IYY_tgx_IHuhSq3AJ5eI5OnqOPBNLWSHKh2a30DoXe8/edit?usp=sharing"",""ยะลา!I471"")"),0)</f>
        <v>0</v>
      </c>
      <c r="J576" s="204">
        <f ca="1">IFERROR(__xludf.DUMMYFUNCTION("IMPORTRANGE(""https://docs.google.com/spreadsheets/d/1IYY_tgx_IHuhSq3AJ5eI5OnqOPBNLWSHKh2a30DoXe8/edit?usp=sharing"",""ยะลา!J471"")"),88)</f>
        <v>88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IFERROR(__xludf.DUMMYFUNCTION("IMPORTRANGE(""https://docs.google.com/spreadsheets/d/1IYY_tgx_IHuhSq3AJ5eI5OnqOPBNLWSHKh2a30DoXe8/edit?usp=sharing"",""ยะลา!I472"")"),0)</f>
        <v>0</v>
      </c>
      <c r="J577" s="195">
        <f ca="1">IFERROR(__xludf.DUMMYFUNCTION("IMPORTRANGE(""https://docs.google.com/spreadsheets/d/1IYY_tgx_IHuhSq3AJ5eI5OnqOPBNLWSHKh2a30DoXe8/edit?usp=sharing"",""ยะลา!J472"")"),162)</f>
        <v>162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IFERROR(__xludf.DUMMYFUNCTION("IMPORTRANGE(""https://docs.google.com/spreadsheets/d/1IYY_tgx_IHuhSq3AJ5eI5OnqOPBNLWSHKh2a30DoXe8/edit?usp=sharing"",""ยะลา!I473"")"),0)</f>
        <v>0</v>
      </c>
      <c r="J578" s="204">
        <f ca="1">IFERROR(__xludf.DUMMYFUNCTION("IMPORTRANGE(""https://docs.google.com/spreadsheets/d/1IYY_tgx_IHuhSq3AJ5eI5OnqOPBNLWSHKh2a30DoXe8/edit?usp=sharing"",""ยะลา!J473"")"),0)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IFERROR(__xludf.DUMMYFUNCTION("IMPORTRANGE(""https://docs.google.com/spreadsheets/d/1IYY_tgx_IHuhSq3AJ5eI5OnqOPBNLWSHKh2a30DoXe8/edit?usp=sharing"",""ยะลา!I474"")"),0)</f>
        <v>0</v>
      </c>
      <c r="J579" s="204">
        <f ca="1">IFERROR(__xludf.DUMMYFUNCTION("IMPORTRANGE(""https://docs.google.com/spreadsheets/d/1IYY_tgx_IHuhSq3AJ5eI5OnqOPBNLWSHKh2a30DoXe8/edit?usp=sharing"",""ยะลา!J474"")"),0)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IFERROR(__xludf.DUMMYFUNCTION("IMPORTRANGE(""https://docs.google.com/spreadsheets/d/1IYY_tgx_IHuhSq3AJ5eI5OnqOPBNLWSHKh2a30DoXe8/edit?usp=sharing"",""ยะลา!I475"")"),0)</f>
        <v>0</v>
      </c>
      <c r="J580" s="377">
        <f ca="1">IFERROR(__xludf.DUMMYFUNCTION("IMPORTRANGE(""https://docs.google.com/spreadsheets/d/1IYY_tgx_IHuhSq3AJ5eI5OnqOPBNLWSHKh2a30DoXe8/edit?usp=sharing"",""ยะลา!J475"")"),0)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IFERROR(__xludf.DUMMYFUNCTION("IMPORTRANGE(""https://docs.google.com/spreadsheets/d/1IYY_tgx_IHuhSq3AJ5eI5OnqOPBNLWSHKh2a30DoXe8/edit?usp=sharing"",""ยะลา!L475"")"),0)</f>
        <v>0</v>
      </c>
      <c r="M580" s="379"/>
      <c r="N580" s="379">
        <f ca="1">IFERROR(__xludf.DUMMYFUNCTION("IMPORTRANGE(""https://docs.google.com/spreadsheets/d/1IYY_tgx_IHuhSq3AJ5eI5OnqOPBNLWSHKh2a30DoXe8/edit?usp=sharing"",""ยะลา!M475"")"),0)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IFERROR(__xludf.DUMMYFUNCTION("IMPORTRANGE(""https://docs.google.com/spreadsheets/d/1IYY_tgx_IHuhSq3AJ5eI5OnqOPBNLWSHKh2a30DoXe8/edit?usp=sharing"",""ยะลา!L476"")"),0)</f>
        <v>0</v>
      </c>
      <c r="M581" s="168"/>
      <c r="N581" s="175">
        <f ca="1">IFERROR(__xludf.DUMMYFUNCTION("IMPORTRANGE(""https://docs.google.com/spreadsheets/d/1IYY_tgx_IHuhSq3AJ5eI5OnqOPBNLWSHKh2a30DoXe8/edit?usp=sharing"",""ยะลา!M476"")"),0)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IFERROR(__xludf.DUMMYFUNCTION("IMPORTRANGE(""https://docs.google.com/spreadsheets/d/1IYY_tgx_IHuhSq3AJ5eI5OnqOPBNLWSHKh2a30DoXe8/edit?usp=sharing"",""ยะลา!L477"")"),0)</f>
        <v>0</v>
      </c>
      <c r="M582" s="169"/>
      <c r="N582" s="175">
        <f ca="1">IFERROR(__xludf.DUMMYFUNCTION("IMPORTRANGE(""https://docs.google.com/spreadsheets/d/1IYY_tgx_IHuhSq3AJ5eI5OnqOPBNLWSHKh2a30DoXe8/edit?usp=sharing"",""ยะลา!M477"")"),0)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IFERROR(__xludf.DUMMYFUNCTION("IMPORTRANGE(""https://docs.google.com/spreadsheets/d/1IYY_tgx_IHuhSq3AJ5eI5OnqOPBNLWSHKh2a30DoXe8/edit?usp=sharing"",""ยะลา!L478"")"),0)</f>
        <v>0</v>
      </c>
      <c r="M583" s="175"/>
      <c r="N583" s="175">
        <f ca="1">IFERROR(__xludf.DUMMYFUNCTION("IMPORTRANGE(""https://docs.google.com/spreadsheets/d/1IYY_tgx_IHuhSq3AJ5eI5OnqOPBNLWSHKh2a30DoXe8/edit?usp=sharing"",""ยะลา!M478"")"),0)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IFERROR(__xludf.DUMMYFUNCTION("IMPORTRANGE(""https://docs.google.com/spreadsheets/d/1IYY_tgx_IHuhSq3AJ5eI5OnqOPBNLWSHKh2a30DoXe8/edit?usp=sharing"",""ยะลา!L479"")"),0)</f>
        <v>0</v>
      </c>
      <c r="M584" s="175"/>
      <c r="N584" s="175">
        <f ca="1">IFERROR(__xludf.DUMMYFUNCTION("IMPORTRANGE(""https://docs.google.com/spreadsheets/d/1IYY_tgx_IHuhSq3AJ5eI5OnqOPBNLWSHKh2a30DoXe8/edit?usp=sharing"",""ยะลา!M479"")"),0)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IFERROR(__xludf.DUMMYFUNCTION("IMPORTRANGE(""https://docs.google.com/spreadsheets/d/1IYY_tgx_IHuhSq3AJ5eI5OnqOPBNLWSHKh2a30DoXe8/edit?usp=sharing"",""ยะลา!M480"")"),0)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IFERROR(__xludf.DUMMYFUNCTION("IMPORTRANGE(""https://docs.google.com/spreadsheets/d/1IYY_tgx_IHuhSq3AJ5eI5OnqOPBNLWSHKh2a30DoXe8/edit?usp=sharing"",""ยะลา!M481"")"),0)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IFERROR(__xludf.DUMMYFUNCTION("IMPORTRANGE(""https://docs.google.com/spreadsheets/d/1IYY_tgx_IHuhSq3AJ5eI5OnqOPBNLWSHKh2a30DoXe8/edit?usp=sharing"",""ยะลา!M482"")"),0)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IFERROR(__xludf.DUMMYFUNCTION("IMPORTRANGE(""https://docs.google.com/spreadsheets/d/1IYY_tgx_IHuhSq3AJ5eI5OnqOPBNLWSHKh2a30DoXe8/edit?usp=sharing"",""ยะลา!M483"")"),0)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IFERROR(__xludf.DUMMYFUNCTION("IMPORTRANGE(""https://docs.google.com/spreadsheets/d/1IYY_tgx_IHuhSq3AJ5eI5OnqOPBNLWSHKh2a30DoXe8/edit?usp=sharing"",""ยะลา!I484"")"),0)</f>
        <v>0</v>
      </c>
      <c r="J589" s="194">
        <f ca="1">IFERROR(__xludf.DUMMYFUNCTION("IMPORTRANGE(""https://docs.google.com/spreadsheets/d/1IYY_tgx_IHuhSq3AJ5eI5OnqOPBNLWSHKh2a30DoXe8/edit?usp=sharing"",""ยะลา!J484"")"),0)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IFERROR(__xludf.DUMMYFUNCTION("IMPORTRANGE(""https://docs.google.com/spreadsheets/d/1IYY_tgx_IHuhSq3AJ5eI5OnqOPBNLWSHKh2a30DoXe8/edit?usp=sharing"",""ยะลา!I485"")"),0)</f>
        <v>0</v>
      </c>
      <c r="J590" s="194">
        <f ca="1">IFERROR(__xludf.DUMMYFUNCTION("IMPORTRANGE(""https://docs.google.com/spreadsheets/d/1IYY_tgx_IHuhSq3AJ5eI5OnqOPBNLWSHKh2a30DoXe8/edit?usp=sharing"",""ยะลา!J485"")"),0)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IFERROR(__xludf.DUMMYFUNCTION("IMPORTRANGE(""https://docs.google.com/spreadsheets/d/1IYY_tgx_IHuhSq3AJ5eI5OnqOPBNLWSHKh2a30DoXe8/edit?usp=sharing"",""ยะลา!I486"")"),0)</f>
        <v>0</v>
      </c>
      <c r="J591" s="194">
        <f ca="1">IFERROR(__xludf.DUMMYFUNCTION("IMPORTRANGE(""https://docs.google.com/spreadsheets/d/1IYY_tgx_IHuhSq3AJ5eI5OnqOPBNLWSHKh2a30DoXe8/edit?usp=sharing"",""ยะลา!J486"")"),0)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IFERROR(__xludf.DUMMYFUNCTION("IMPORTRANGE(""https://docs.google.com/spreadsheets/d/1IYY_tgx_IHuhSq3AJ5eI5OnqOPBNLWSHKh2a30DoXe8/edit?usp=sharing"",""ยะลา!I487"")"),0)</f>
        <v>0</v>
      </c>
      <c r="J592" s="194">
        <f ca="1">IFERROR(__xludf.DUMMYFUNCTION("IMPORTRANGE(""https://docs.google.com/spreadsheets/d/1IYY_tgx_IHuhSq3AJ5eI5OnqOPBNLWSHKh2a30DoXe8/edit?usp=sharing"",""ยะลา!J487"")"),0)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IFERROR(__xludf.DUMMYFUNCTION("IMPORTRANGE(""https://docs.google.com/spreadsheets/d/1IYY_tgx_IHuhSq3AJ5eI5OnqOPBNLWSHKh2a30DoXe8/edit?usp=sharing"",""ยะลา!I488"")"),0)</f>
        <v>0</v>
      </c>
      <c r="J593" s="194">
        <f ca="1">IFERROR(__xludf.DUMMYFUNCTION("IMPORTRANGE(""https://docs.google.com/spreadsheets/d/1IYY_tgx_IHuhSq3AJ5eI5OnqOPBNLWSHKh2a30DoXe8/edit?usp=sharing"",""ยะลา!J488"")"),0)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IFERROR(__xludf.DUMMYFUNCTION("IMPORTRANGE(""https://docs.google.com/spreadsheets/d/1IYY_tgx_IHuhSq3AJ5eI5OnqOPBNLWSHKh2a30DoXe8/edit?usp=sharing"",""ยะลา!I489"")"),0)</f>
        <v>0</v>
      </c>
      <c r="J594" s="194">
        <f ca="1">IFERROR(__xludf.DUMMYFUNCTION("IMPORTRANGE(""https://docs.google.com/spreadsheets/d/1IYY_tgx_IHuhSq3AJ5eI5OnqOPBNLWSHKh2a30DoXe8/edit?usp=sharing"",""ยะลา!J489"")"),0)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IFERROR(__xludf.DUMMYFUNCTION("IMPORTRANGE(""https://docs.google.com/spreadsheets/d/1IYY_tgx_IHuhSq3AJ5eI5OnqOPBNLWSHKh2a30DoXe8/edit?usp=sharing"",""ยะลา!I490"")"),0)</f>
        <v>0</v>
      </c>
      <c r="J595" s="194">
        <f ca="1">IFERROR(__xludf.DUMMYFUNCTION("IMPORTRANGE(""https://docs.google.com/spreadsheets/d/1IYY_tgx_IHuhSq3AJ5eI5OnqOPBNLWSHKh2a30DoXe8/edit?usp=sharing"",""ยะลา!J490"")"),0)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IFERROR(__xludf.DUMMYFUNCTION("IMPORTRANGE(""https://docs.google.com/spreadsheets/d/1IYY_tgx_IHuhSq3AJ5eI5OnqOPBNLWSHKh2a30DoXe8/edit?usp=sharing"",""ยะลา!I491"")"),0)</f>
        <v>0</v>
      </c>
      <c r="J596" s="247">
        <f ca="1">IFERROR(__xludf.DUMMYFUNCTION("IMPORTRANGE(""https://docs.google.com/spreadsheets/d/1IYY_tgx_IHuhSq3AJ5eI5OnqOPBNLWSHKh2a30DoXe8/edit?usp=sharing"",""ยะลา!J491"")"),0)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IFERROR(__xludf.DUMMYFUNCTION("IMPORTRANGE(""https://docs.google.com/spreadsheets/d/1IYY_tgx_IHuhSq3AJ5eI5OnqOPBNLWSHKh2a30DoXe8/edit?usp=sharing"",""ยะลา!I492"")"),50)</f>
        <v>50</v>
      </c>
      <c r="J597" s="493">
        <f ca="1">IFERROR(__xludf.DUMMYFUNCTION("IMPORTRANGE(""https://docs.google.com/spreadsheets/d/1IYY_tgx_IHuhSq3AJ5eI5OnqOPBNLWSHKh2a30DoXe8/edit?usp=sharing"",""ยะลา!J492"")"),0)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IFERROR(__xludf.DUMMYFUNCTION("IMPORTRANGE(""https://docs.google.com/spreadsheets/d/1IYY_tgx_IHuhSq3AJ5eI5OnqOPBNLWSHKh2a30DoXe8/edit?usp=sharing"",""ยะลา!L492"")"),4550)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IFERROR(__xludf.DUMMYFUNCTION("IMPORTRANGE(""https://docs.google.com/spreadsheets/d/1IYY_tgx_IHuhSq3AJ5eI5OnqOPBNLWSHKh2a30DoXe8/edit?usp=sharing"",""ยะลา!M492"")"),1800)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IFERROR(__xludf.DUMMYFUNCTION("IMPORTRANGE(""https://docs.google.com/spreadsheets/d/1IYY_tgx_IHuhSq3AJ5eI5OnqOPBNLWSHKh2a30DoXe8/edit?usp=sharing"",""ยะลา!L493"")"),0)</f>
        <v>0</v>
      </c>
      <c r="M598" s="168"/>
      <c r="N598" s="175">
        <f ca="1">IFERROR(__xludf.DUMMYFUNCTION("IMPORTRANGE(""https://docs.google.com/spreadsheets/d/1IYY_tgx_IHuhSq3AJ5eI5OnqOPBNLWSHKh2a30DoXe8/edit?usp=sharing"",""ยะลา!M493"")"),0)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IFERROR(__xludf.DUMMYFUNCTION("IMPORTRANGE(""https://docs.google.com/spreadsheets/d/1IYY_tgx_IHuhSq3AJ5eI5OnqOPBNLWSHKh2a30DoXe8/edit?usp=sharing"",""ยะลา!L494"")"),4550)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IFERROR(__xludf.DUMMYFUNCTION("IMPORTRANGE(""https://docs.google.com/spreadsheets/d/1IYY_tgx_IHuhSq3AJ5eI5OnqOPBNLWSHKh2a30DoXe8/edit?usp=sharing"",""ยะลา!M494"")"),1800)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IFERROR(__xludf.DUMMYFUNCTION("IMPORTRANGE(""https://docs.google.com/spreadsheets/d/1IYY_tgx_IHuhSq3AJ5eI5OnqOPBNLWSHKh2a30DoXe8/edit?usp=sharing"",""ยะลา!L495"")"),0)</f>
        <v>0</v>
      </c>
      <c r="M600" s="175"/>
      <c r="N600" s="175">
        <f ca="1">IFERROR(__xludf.DUMMYFUNCTION("IMPORTRANGE(""https://docs.google.com/spreadsheets/d/1IYY_tgx_IHuhSq3AJ5eI5OnqOPBNLWSHKh2a30DoXe8/edit?usp=sharing"",""ยะลา!M495"")"),0)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IFERROR(__xludf.DUMMYFUNCTION("IMPORTRANGE(""https://docs.google.com/spreadsheets/d/1IYY_tgx_IHuhSq3AJ5eI5OnqOPBNLWSHKh2a30DoXe8/edit?usp=sharing"",""ยะลา!L496"")"),4550)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IFERROR(__xludf.DUMMYFUNCTION("IMPORTRANGE(""https://docs.google.com/spreadsheets/d/1IYY_tgx_IHuhSq3AJ5eI5OnqOPBNLWSHKh2a30DoXe8/edit?usp=sharing"",""ยะลา!M496"")"),1800)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IFERROR(__xludf.DUMMYFUNCTION("IMPORTRANGE(""https://docs.google.com/spreadsheets/d/1IYY_tgx_IHuhSq3AJ5eI5OnqOPBNLWSHKh2a30DoXe8/edit?usp=sharing"",""ยะลา!M497"")"),0)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IFERROR(__xludf.DUMMYFUNCTION("IMPORTRANGE(""https://docs.google.com/spreadsheets/d/1IYY_tgx_IHuhSq3AJ5eI5OnqOPBNLWSHKh2a30DoXe8/edit?usp=sharing"",""ยะลา!M498"")"),0)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IFERROR(__xludf.DUMMYFUNCTION("IMPORTRANGE(""https://docs.google.com/spreadsheets/d/1IYY_tgx_IHuhSq3AJ5eI5OnqOPBNLWSHKh2a30DoXe8/edit?usp=sharing"",""ยะลา!M499"")"),0)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IFERROR(__xludf.DUMMYFUNCTION("IMPORTRANGE(""https://docs.google.com/spreadsheets/d/1IYY_tgx_IHuhSq3AJ5eI5OnqOPBNLWSHKh2a30DoXe8/edit?usp=sharing"",""ยะลา!M500"")"),1800)</f>
        <v>1800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IFERROR(__xludf.DUMMYFUNCTION("IMPORTRANGE(""https://docs.google.com/spreadsheets/d/1IYY_tgx_IHuhSq3AJ5eI5OnqOPBNLWSHKh2a30DoXe8/edit?usp=sharing"",""ยะลา!J502"")"),0)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IFERROR(__xludf.DUMMYFUNCTION("IMPORTRANGE(""https://docs.google.com/spreadsheets/d/1IYY_tgx_IHuhSq3AJ5eI5OnqOPBNLWSHKh2a30DoXe8/edit?usp=sharing"",""ยะลา!J503"")"),1)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IFERROR(__xludf.DUMMYFUNCTION("IMPORTRANGE(""https://docs.google.com/spreadsheets/d/1IYY_tgx_IHuhSq3AJ5eI5OnqOPBNLWSHKh2a30DoXe8/edit?usp=sharing"",""ยะลา!J166"")"),0)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IFERROR(__xludf.DUMMYFUNCTION("IMPORTRANGE(""https://docs.google.com/spreadsheets/d/1IYY_tgx_IHuhSq3AJ5eI5OnqOPBNLWSHKh2a30DoXe8/edit?usp=sharing"",""ยะลา!J166"")"),0)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IFERROR(__xludf.DUMMYFUNCTION("IMPORTRANGE(""https://docs.google.com/spreadsheets/d/1IYY_tgx_IHuhSq3AJ5eI5OnqOPBNLWSHKh2a30DoXe8/edit?usp=sharing"",""ยะลา!I506"")"),50)</f>
        <v>50</v>
      </c>
      <c r="J611" s="166">
        <f ca="1">IFERROR(__xludf.DUMMYFUNCTION("IMPORTRANGE(""https://docs.google.com/spreadsheets/d/1IYY_tgx_IHuhSq3AJ5eI5OnqOPBNLWSHKh2a30DoXe8/edit?usp=sharing"",""ยะลา!J506"")"),0)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IFERROR(__xludf.DUMMYFUNCTION("IMPORTRANGE(""https://docs.google.com/spreadsheets/d/1IYY_tgx_IHuhSq3AJ5eI5OnqOPBNLWSHKh2a30DoXe8/edit?usp=sharing"",""ยะลา!I507"")"),0)</f>
        <v>0</v>
      </c>
      <c r="J612" s="204">
        <f ca="1">IFERROR(__xludf.DUMMYFUNCTION("IMPORTRANGE(""https://docs.google.com/spreadsheets/d/1IYY_tgx_IHuhSq3AJ5eI5OnqOPBNLWSHKh2a30DoXe8/edit?usp=sharing"",""ยะลา!J507"")"),0)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IFERROR(__xludf.DUMMYFUNCTION("IMPORTRANGE(""https://docs.google.com/spreadsheets/d/1IYY_tgx_IHuhSq3AJ5eI5OnqOPBNLWSHKh2a30DoXe8/edit?usp=sharing"",""ยะลา!I508"")"),0)</f>
        <v>0</v>
      </c>
      <c r="J613" s="204">
        <f ca="1">IFERROR(__xludf.DUMMYFUNCTION("IMPORTRANGE(""https://docs.google.com/spreadsheets/d/1IYY_tgx_IHuhSq3AJ5eI5OnqOPBNLWSHKh2a30DoXe8/edit?usp=sharing"",""ยะลา!J508"")"),0)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IFERROR(__xludf.DUMMYFUNCTION("IMPORTRANGE(""https://docs.google.com/spreadsheets/d/1IYY_tgx_IHuhSq3AJ5eI5OnqOPBNLWSHKh2a30DoXe8/edit?usp=sharing"",""ยะลา!I509"")"),0)</f>
        <v>0</v>
      </c>
      <c r="J614" s="204">
        <f ca="1">IFERROR(__xludf.DUMMYFUNCTION("IMPORTRANGE(""https://docs.google.com/spreadsheets/d/1IYY_tgx_IHuhSq3AJ5eI5OnqOPBNLWSHKh2a30DoXe8/edit?usp=sharing"",""ยะลา!J509"")"),0)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IFERROR(__xludf.DUMMYFUNCTION("IMPORTRANGE(""https://docs.google.com/spreadsheets/d/1IYY_tgx_IHuhSq3AJ5eI5OnqOPBNLWSHKh2a30DoXe8/edit?usp=sharing"",""ยะลา!I510"")"),0)</f>
        <v>0</v>
      </c>
      <c r="J615" s="204">
        <f ca="1">IFERROR(__xludf.DUMMYFUNCTION("IMPORTRANGE(""https://docs.google.com/spreadsheets/d/1IYY_tgx_IHuhSq3AJ5eI5OnqOPBNLWSHKh2a30DoXe8/edit?usp=sharing"",""ยะลา!J510"")"),0)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IFERROR(__xludf.DUMMYFUNCTION("IMPORTRANGE(""https://docs.google.com/spreadsheets/d/1IYY_tgx_IHuhSq3AJ5eI5OnqOPBNLWSHKh2a30DoXe8/edit?usp=sharing"",""ยะลา!I511"")"),0)</f>
        <v>0</v>
      </c>
      <c r="J616" s="204">
        <f ca="1">IFERROR(__xludf.DUMMYFUNCTION("IMPORTRANGE(""https://docs.google.com/spreadsheets/d/1IYY_tgx_IHuhSq3AJ5eI5OnqOPBNLWSHKh2a30DoXe8/edit?usp=sharing"",""ยะลา!J511"")"),0)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IFERROR(__xludf.DUMMYFUNCTION("IMPORTRANGE(""https://docs.google.com/spreadsheets/d/1IYY_tgx_IHuhSq3AJ5eI5OnqOPBNLWSHKh2a30DoXe8/edit?usp=sharing"",""ยะลา!I512"")"),0)</f>
        <v>0</v>
      </c>
      <c r="J617" s="194">
        <f ca="1">IFERROR(__xludf.DUMMYFUNCTION("IMPORTRANGE(""https://docs.google.com/spreadsheets/d/1IYY_tgx_IHuhSq3AJ5eI5OnqOPBNLWSHKh2a30DoXe8/edit?usp=sharing"",""ยะลา!J512"")"),0)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IFERROR(__xludf.DUMMYFUNCTION("IMPORTRANGE(""https://docs.google.com/spreadsheets/d/1IYY_tgx_IHuhSq3AJ5eI5OnqOPBNLWSHKh2a30DoXe8/edit?usp=sharing"",""ยะลา!I513"")"),0)</f>
        <v>0</v>
      </c>
      <c r="J618" s="195">
        <f ca="1">IFERROR(__xludf.DUMMYFUNCTION("IMPORTRANGE(""https://docs.google.com/spreadsheets/d/1IYY_tgx_IHuhSq3AJ5eI5OnqOPBNLWSHKh2a30DoXe8/edit?usp=sharing"",""ยะลา!J513"")"),0)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IFERROR(__xludf.DUMMYFUNCTION("IMPORTRANGE(""https://docs.google.com/spreadsheets/d/1IYY_tgx_IHuhSq3AJ5eI5OnqOPBNLWSHKh2a30DoXe8/edit?usp=sharing"",""ยะลา!I514"")"),0)</f>
        <v>0</v>
      </c>
      <c r="J619" s="195">
        <f ca="1">IFERROR(__xludf.DUMMYFUNCTION("IMPORTRANGE(""https://docs.google.com/spreadsheets/d/1IYY_tgx_IHuhSq3AJ5eI5OnqOPBNLWSHKh2a30DoXe8/edit?usp=sharing"",""ยะลา!J514"")"),0)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IFERROR(__xludf.DUMMYFUNCTION("IMPORTRANGE(""https://docs.google.com/spreadsheets/d/1IYY_tgx_IHuhSq3AJ5eI5OnqOPBNLWSHKh2a30DoXe8/edit?usp=sharing"",""ยะลา!I515"")"),0)</f>
        <v>0</v>
      </c>
      <c r="J620" s="209">
        <f ca="1">IFERROR(__xludf.DUMMYFUNCTION("IMPORTRANGE(""https://docs.google.com/spreadsheets/d/1IYY_tgx_IHuhSq3AJ5eI5OnqOPBNLWSHKh2a30DoXe8/edit?usp=sharing"",""ยะลา!J515"")"),0)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IFERROR(__xludf.DUMMYFUNCTION("IMPORTRANGE(""https://docs.google.com/spreadsheets/d/1IYY_tgx_IHuhSq3AJ5eI5OnqOPBNLWSHKh2a30DoXe8/edit?usp=sharing"",""ยะลา!I516"")"),0)</f>
        <v>0</v>
      </c>
      <c r="J621" s="209">
        <f ca="1">IFERROR(__xludf.DUMMYFUNCTION("IMPORTRANGE(""https://docs.google.com/spreadsheets/d/1IYY_tgx_IHuhSq3AJ5eI5OnqOPBNLWSHKh2a30DoXe8/edit?usp=sharing"",""ยะลา!J516"")"),0)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IFERROR(__xludf.DUMMYFUNCTION("IMPORTRANGE(""https://docs.google.com/spreadsheets/d/1IYY_tgx_IHuhSq3AJ5eI5OnqOPBNLWSHKh2a30DoXe8/edit?usp=sharing"",""ยะลา!I517"")"),0)</f>
        <v>0</v>
      </c>
      <c r="J622" s="195">
        <f ca="1">IFERROR(__xludf.DUMMYFUNCTION("IMPORTRANGE(""https://docs.google.com/spreadsheets/d/1IYY_tgx_IHuhSq3AJ5eI5OnqOPBNLWSHKh2a30DoXe8/edit?usp=sharing"",""ยะลา!J517"")"),0)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IFERROR(__xludf.DUMMYFUNCTION("IMPORTRANGE(""https://docs.google.com/spreadsheets/d/1IYY_tgx_IHuhSq3AJ5eI5OnqOPBNLWSHKh2a30DoXe8/edit?usp=sharing"",""ยะลา!I518"")"),0)</f>
        <v>0</v>
      </c>
      <c r="J623" s="195">
        <f ca="1">IFERROR(__xludf.DUMMYFUNCTION("IMPORTRANGE(""https://docs.google.com/spreadsheets/d/1IYY_tgx_IHuhSq3AJ5eI5OnqOPBNLWSHKh2a30DoXe8/edit?usp=sharing"",""ยะลา!J518"")"),0)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IFERROR(__xludf.DUMMYFUNCTION("IMPORTRANGE(""https://docs.google.com/spreadsheets/d/1IYY_tgx_IHuhSq3AJ5eI5OnqOPBNLWSHKh2a30DoXe8/edit?usp=sharing"",""ยะลา!I519"")"),0)</f>
        <v>0</v>
      </c>
      <c r="J624" s="194">
        <f ca="1">IFERROR(__xludf.DUMMYFUNCTION("IMPORTRANGE(""https://docs.google.com/spreadsheets/d/1IYY_tgx_IHuhSq3AJ5eI5OnqOPBNLWSHKh2a30DoXe8/edit?usp=sharing"",""ยะลา!J519"")"),0)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IFERROR(__xludf.DUMMYFUNCTION("IMPORTRANGE(""https://docs.google.com/spreadsheets/d/1IYY_tgx_IHuhSq3AJ5eI5OnqOPBNLWSHKh2a30DoXe8/edit?usp=sharing"",""ยะลา!I520"")"),0)</f>
        <v>0</v>
      </c>
      <c r="J625" s="195">
        <f ca="1">IFERROR(__xludf.DUMMYFUNCTION("IMPORTRANGE(""https://docs.google.com/spreadsheets/d/1IYY_tgx_IHuhSq3AJ5eI5OnqOPBNLWSHKh2a30DoXe8/edit?usp=sharing"",""ยะลา!J520"")"),0)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IFERROR(__xludf.DUMMYFUNCTION("IMPORTRANGE(""https://docs.google.com/spreadsheets/d/1IYY_tgx_IHuhSq3AJ5eI5OnqOPBNLWSHKh2a30DoXe8/edit?usp=sharing"",""ยะลา!I521"")"),0)</f>
        <v>0</v>
      </c>
      <c r="J626" s="195">
        <f ca="1">IFERROR(__xludf.DUMMYFUNCTION("IMPORTRANGE(""https://docs.google.com/spreadsheets/d/1IYY_tgx_IHuhSq3AJ5eI5OnqOPBNLWSHKh2a30DoXe8/edit?usp=sharing"",""ยะลา!J521"")"),0)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IFERROR(__xludf.DUMMYFUNCTION("IMPORTRANGE(""https://docs.google.com/spreadsheets/d/1IYY_tgx_IHuhSq3AJ5eI5OnqOPBNLWSHKh2a30DoXe8/edit?usp=sharing"",""ยะลา!I523"")"),598614.42)</f>
        <v>598614.42000000004</v>
      </c>
      <c r="J628" s="347">
        <f ca="1">IFERROR(__xludf.DUMMYFUNCTION("IMPORTRANGE(""https://docs.google.com/spreadsheets/d/1IYY_tgx_IHuhSq3AJ5eI5OnqOPBNLWSHKh2a30DoXe8/edit?usp=sharing"",""ยะลา!J523"")"),148036.29)</f>
        <v>148036.29</v>
      </c>
      <c r="K628" s="348">
        <f t="shared" ref="K628:K635" ca="1" si="129">IF(I628&gt;0,J628*100/I628,0)</f>
        <v>24.729823581596982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IFERROR(__xludf.DUMMYFUNCTION("IMPORTRANGE(""https://docs.google.com/spreadsheets/d/1IYY_tgx_IHuhSq3AJ5eI5OnqOPBNLWSHKh2a30DoXe8/edit?usp=sharing"",""ยะลา!I524"")"),52)</f>
        <v>52</v>
      </c>
      <c r="J629" s="347">
        <f ca="1">IFERROR(__xludf.DUMMYFUNCTION("IMPORTRANGE(""https://docs.google.com/spreadsheets/d/1IYY_tgx_IHuhSq3AJ5eI5OnqOPBNLWSHKh2a30DoXe8/edit?usp=sharing"",""ยะลา!J524"")"),18)</f>
        <v>18</v>
      </c>
      <c r="K629" s="348">
        <f t="shared" ca="1" si="129"/>
        <v>34.615384615384613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IFERROR(__xludf.DUMMYFUNCTION("IMPORTRANGE(""https://docs.google.com/spreadsheets/d/1IYY_tgx_IHuhSq3AJ5eI5OnqOPBNLWSHKh2a30DoXe8/edit?usp=sharing"",""ยะลา!I525"")"),17653.7)</f>
        <v>17653.7</v>
      </c>
      <c r="J630" s="347">
        <f ca="1">IFERROR(__xludf.DUMMYFUNCTION("IMPORTRANGE(""https://docs.google.com/spreadsheets/d/1IYY_tgx_IHuhSq3AJ5eI5OnqOPBNLWSHKh2a30DoXe8/edit?usp=sharing"",""ยะลา!J525"")"),25613.93)</f>
        <v>25613.93</v>
      </c>
      <c r="K630" s="348">
        <f t="shared" ca="1" si="129"/>
        <v>145.09100075338313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IFERROR(__xludf.DUMMYFUNCTION("IMPORTRANGE(""https://docs.google.com/spreadsheets/d/1IYY_tgx_IHuhSq3AJ5eI5OnqOPBNLWSHKh2a30DoXe8/edit?usp=sharing"",""ยะลา!I526"")"),1)</f>
        <v>1</v>
      </c>
      <c r="J631" s="347">
        <f ca="1">IFERROR(__xludf.DUMMYFUNCTION("IMPORTRANGE(""https://docs.google.com/spreadsheets/d/1IYY_tgx_IHuhSq3AJ5eI5OnqOPBNLWSHKh2a30DoXe8/edit?usp=sharing"",""ยะลา!J526"")"),5)</f>
        <v>5</v>
      </c>
      <c r="K631" s="348">
        <f t="shared" ca="1" si="129"/>
        <v>500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IFERROR(__xludf.DUMMYFUNCTION("IMPORTRANGE(""https://docs.google.com/spreadsheets/d/1IYY_tgx_IHuhSq3AJ5eI5OnqOPBNLWSHKh2a30DoXe8/edit?usp=sharing"",""ยะลา!I527"")"),52342.67)</f>
        <v>52342.67</v>
      </c>
      <c r="J632" s="347">
        <f ca="1">IFERROR(__xludf.DUMMYFUNCTION("IMPORTRANGE(""https://docs.google.com/spreadsheets/d/1IYY_tgx_IHuhSq3AJ5eI5OnqOPBNLWSHKh2a30DoXe8/edit?usp=sharing"",""ยะลา!J527"")"),21240.32)</f>
        <v>21240.32</v>
      </c>
      <c r="K632" s="348">
        <f t="shared" ca="1" si="129"/>
        <v>40.579359058297946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IFERROR(__xludf.DUMMYFUNCTION("IMPORTRANGE(""https://docs.google.com/spreadsheets/d/1IYY_tgx_IHuhSq3AJ5eI5OnqOPBNLWSHKh2a30DoXe8/edit?usp=sharing"",""ยะลา!I528"")"),149)</f>
        <v>149</v>
      </c>
      <c r="J633" s="347">
        <f ca="1">IFERROR(__xludf.DUMMYFUNCTION("IMPORTRANGE(""https://docs.google.com/spreadsheets/d/1IYY_tgx_IHuhSq3AJ5eI5OnqOPBNLWSHKh2a30DoXe8/edit?usp=sharing"",""ยะลา!J528"")"),49)</f>
        <v>49</v>
      </c>
      <c r="K633" s="348">
        <f t="shared" ca="1" si="129"/>
        <v>32.885906040268459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IFERROR(__xludf.DUMMYFUNCTION("IMPORTRANGE(""https://docs.google.com/spreadsheets/d/1IYY_tgx_IHuhSq3AJ5eI5OnqOPBNLWSHKh2a30DoXe8/edit?usp=sharing"",""ยะลา!I529"")"),510000)</f>
        <v>510000</v>
      </c>
      <c r="J634" s="347">
        <f ca="1">IFERROR(__xludf.DUMMYFUNCTION("IMPORTRANGE(""https://docs.google.com/spreadsheets/d/1IYY_tgx_IHuhSq3AJ5eI5OnqOPBNLWSHKh2a30DoXe8/edit?usp=sharing"",""ยะลา!J529"")"),0)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IFERROR(__xludf.DUMMYFUNCTION("IMPORTRANGE(""https://docs.google.com/spreadsheets/d/1IYY_tgx_IHuhSq3AJ5eI5OnqOPBNLWSHKh2a30DoXe8/edit?usp=sharing"",""ยะลา!I530"")"),17)</f>
        <v>17</v>
      </c>
      <c r="J635" s="517">
        <f ca="1">IFERROR(__xludf.DUMMYFUNCTION("IMPORTRANGE(""https://docs.google.com/spreadsheets/d/1IYY_tgx_IHuhSq3AJ5eI5OnqOPBNLWSHKh2a30DoXe8/edit?usp=sharing"",""ยะลา!J530"")"),0)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D11" sqref="D11:F1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260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4252871.59</v>
      </c>
      <c r="M8" s="23">
        <f t="shared" ca="1" si="0"/>
        <v>2247826</v>
      </c>
      <c r="N8" s="23">
        <f t="shared" ca="1" si="0"/>
        <v>2328360.2400000002</v>
      </c>
      <c r="O8" s="22">
        <f t="shared" ref="O8:O16" ca="1" si="1">IF(L8&gt;0,N8*100/L8,0)</f>
        <v>54.747955369139191</v>
      </c>
      <c r="P8" s="22">
        <f t="shared" ref="P8:P16" ca="1" si="2">IF(M8&gt;0,N8*100/M8,0)</f>
        <v>103.58276129913972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4252871.59</v>
      </c>
      <c r="M10" s="30">
        <f t="shared" ca="1" si="4"/>
        <v>2247826</v>
      </c>
      <c r="N10" s="30">
        <f t="shared" ca="1" si="4"/>
        <v>2328360.2400000002</v>
      </c>
      <c r="O10" s="29">
        <f t="shared" ca="1" si="1"/>
        <v>54.747955369139191</v>
      </c>
      <c r="P10" s="29">
        <f t="shared" ca="1" si="2"/>
        <v>103.58276129913972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3570471.59</v>
      </c>
      <c r="M12" s="38">
        <f t="shared" ca="1" si="6"/>
        <v>1565426</v>
      </c>
      <c r="N12" s="38">
        <f t="shared" ca="1" si="6"/>
        <v>1647960.24</v>
      </c>
      <c r="O12" s="38">
        <f t="shared" ca="1" si="1"/>
        <v>46.155254241919344</v>
      </c>
      <c r="P12" s="38">
        <f t="shared" ca="1" si="2"/>
        <v>105.27231820603465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1565000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2005471.59</v>
      </c>
      <c r="M14" s="38">
        <f t="shared" si="8"/>
        <v>0</v>
      </c>
      <c r="N14" s="38">
        <f t="shared" ca="1" si="8"/>
        <v>542787</v>
      </c>
      <c r="O14" s="41">
        <f t="shared" ca="1" si="1"/>
        <v>27.065304874251545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682400</v>
      </c>
      <c r="M16" s="38">
        <f t="shared" ca="1" si="10"/>
        <v>682400</v>
      </c>
      <c r="N16" s="38">
        <f t="shared" ca="1" si="10"/>
        <v>680400</v>
      </c>
      <c r="O16" s="50">
        <f t="shared" ca="1" si="1"/>
        <v>99.706916764361083</v>
      </c>
      <c r="P16" s="50">
        <f t="shared" ca="1" si="2"/>
        <v>99.706916764361083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2684745</v>
      </c>
      <c r="M18" s="23">
        <f t="shared" ca="1" si="11"/>
        <v>2247826</v>
      </c>
      <c r="N18" s="23">
        <f t="shared" ca="1" si="11"/>
        <v>1785573.24</v>
      </c>
      <c r="O18" s="22">
        <f t="shared" ref="O18:O20" ca="1" si="12">IF(L18&gt;0,N18*100/L18,0)</f>
        <v>66.508113061016971</v>
      </c>
      <c r="P18" s="22">
        <f t="shared" ref="P18:P26" ca="1" si="13">IF(M18&gt;0,N18*100/M18,0)</f>
        <v>79.435563072942472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2684745</v>
      </c>
      <c r="M20" s="30">
        <f t="shared" ca="1" si="15"/>
        <v>2247826</v>
      </c>
      <c r="N20" s="30">
        <f t="shared" ca="1" si="15"/>
        <v>1785573.24</v>
      </c>
      <c r="O20" s="29">
        <f t="shared" ca="1" si="12"/>
        <v>66.508113061016971</v>
      </c>
      <c r="P20" s="29">
        <f t="shared" ca="1" si="13"/>
        <v>79.435563072942472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2002345</v>
      </c>
      <c r="M22" s="42">
        <f t="shared" ca="1" si="18"/>
        <v>1565426</v>
      </c>
      <c r="N22" s="41">
        <f t="shared" ca="1" si="18"/>
        <v>1105173.24</v>
      </c>
      <c r="O22" s="41">
        <f t="shared" ca="1" si="17"/>
        <v>55.193947097028733</v>
      </c>
      <c r="P22" s="41">
        <f t="shared" ca="1" si="13"/>
        <v>70.598881071350547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1565000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437345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682400</v>
      </c>
      <c r="M26" s="50">
        <f t="shared" ca="1" si="22"/>
        <v>682400</v>
      </c>
      <c r="N26" s="50">
        <f t="shared" ca="1" si="22"/>
        <v>680400</v>
      </c>
      <c r="O26" s="50">
        <f t="shared" ca="1" si="17"/>
        <v>99.706916764361083</v>
      </c>
      <c r="P26" s="50">
        <f t="shared" ca="1" si="13"/>
        <v>99.706916764361083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1568126.59</v>
      </c>
      <c r="M28" s="23">
        <f t="shared" si="23"/>
        <v>0</v>
      </c>
      <c r="N28" s="23">
        <f t="shared" ca="1" si="23"/>
        <v>542787</v>
      </c>
      <c r="O28" s="22">
        <f t="shared" ref="O28:O30" ca="1" si="24">IF(L28&gt;0,N28*100/L28,0)</f>
        <v>34.61372337293254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1568126.59</v>
      </c>
      <c r="M30" s="30">
        <f t="shared" si="27"/>
        <v>0</v>
      </c>
      <c r="N30" s="30">
        <f t="shared" ca="1" si="27"/>
        <v>542787</v>
      </c>
      <c r="O30" s="29">
        <f t="shared" ca="1" si="24"/>
        <v>34.61372337293254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1568126.59</v>
      </c>
      <c r="M32" s="41">
        <f t="shared" si="30"/>
        <v>0</v>
      </c>
      <c r="N32" s="41">
        <f t="shared" ca="1" si="30"/>
        <v>542787</v>
      </c>
      <c r="O32" s="41">
        <f t="shared" ca="1" si="29"/>
        <v>34.61372337293254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1568126.59</v>
      </c>
      <c r="M34" s="41">
        <f t="shared" si="32"/>
        <v>0</v>
      </c>
      <c r="N34" s="41">
        <f t="shared" ca="1" si="32"/>
        <v>542787</v>
      </c>
      <c r="O34" s="41">
        <f t="shared" ca="1" si="29"/>
        <v>34.61372337293254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2684745</v>
      </c>
      <c r="M37" s="55">
        <f t="shared" ca="1" si="33"/>
        <v>2247826</v>
      </c>
      <c r="N37" s="55">
        <f t="shared" ca="1" si="33"/>
        <v>1785573.2400000002</v>
      </c>
      <c r="O37" s="56">
        <f t="shared" ca="1" si="29"/>
        <v>66.508113061016985</v>
      </c>
      <c r="P37" s="56">
        <f t="shared" ca="1" si="25"/>
        <v>79.435563072942486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1228000</v>
      </c>
      <c r="M41" s="79">
        <f t="shared" ca="1" si="34"/>
        <v>1068400</v>
      </c>
      <c r="N41" s="79">
        <f t="shared" ca="1" si="34"/>
        <v>941849.14</v>
      </c>
      <c r="O41" s="78">
        <f t="shared" ref="O41:O43" ca="1" si="35">IF(L41&gt;0,N41*100/L41,0)</f>
        <v>76.697812703583068</v>
      </c>
      <c r="P41" s="78">
        <f t="shared" ref="P41:P43" ca="1" si="36">IF(M41&gt;0,N41*100/M41,0)</f>
        <v>88.155104829651819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1228000</v>
      </c>
      <c r="M43" s="79">
        <f t="shared" ca="1" si="38"/>
        <v>1068400</v>
      </c>
      <c r="N43" s="79">
        <f t="shared" ca="1" si="38"/>
        <v>941849.14</v>
      </c>
      <c r="O43" s="78">
        <f t="shared" ca="1" si="35"/>
        <v>76.697812703583068</v>
      </c>
      <c r="P43" s="78">
        <f t="shared" ca="1" si="36"/>
        <v>88.155104829651819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638000</v>
      </c>
      <c r="M45" s="91">
        <f ca="1">IFERROR(__xludf.DUMMYFUNCTION("IMPORTRANGE(""https://docs.google.com/spreadsheets/d/1Yj_ptqi66GCucihVvJfMjLAmec39IyEx_6qawtMGysU/edit?usp=sharing"",""สบก!Q91"")"),478400)</f>
        <v>478400</v>
      </c>
      <c r="N45" s="91">
        <f ca="1">IFERROR(__xludf.DUMMYFUNCTION("IMPORTRANGE(""https://docs.google.com/spreadsheets/d/1Yj_ptqi66GCucihVvJfMjLAmec39IyEx_6qawtMGysU/edit?usp=sharing"",""สบก!R91"")"),353849.14)</f>
        <v>353849.14</v>
      </c>
      <c r="O45" s="92">
        <f ca="1">IF(L45&gt;0,N45*100/L45,0)</f>
        <v>55.462247648902824</v>
      </c>
      <c r="P45" s="92">
        <f ca="1">IF(M45&gt;0,N45*100/M45,0)</f>
        <v>73.965121237458192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IFERROR(__xludf.DUMMYFUNCTION("IMPORTRANGE(""https://docs.google.com/spreadsheets/d/1Yj_ptqi66GCucihVvJfMjLAmec39IyEx_6qawtMGysU/edit?usp=sharing"",""สบก!M91"")"),638000)</f>
        <v>638000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IFERROR(__xludf.DUMMYFUNCTION("IMPORTRANGE(""https://docs.google.com/spreadsheets/d/1Yj_ptqi66GCucihVvJfMjLAmec39IyEx_6qawtMGysU/edit?usp=sharing"",""สบก!O91"")"),590000)</f>
        <v>590000</v>
      </c>
      <c r="M49" s="101">
        <f ca="1">L49</f>
        <v>590000</v>
      </c>
      <c r="N49" s="91">
        <f ca="1">IFERROR(__xludf.DUMMYFUNCTION("IMPORTRANGE(""https://docs.google.com/spreadsheets/d/1Yj_ptqi66GCucihVvJfMjLAmec39IyEx_6qawtMGysU/edit?usp=sharing"",""สบก!S91"")"),588000)</f>
        <v>588000</v>
      </c>
      <c r="O49" s="101">
        <f ca="1">IF(L49&gt;0,N49*100/L49,0)</f>
        <v>99.66101694915254</v>
      </c>
      <c r="P49" s="101">
        <f ca="1">IF(M49&gt;0,N49*100/M49,0)</f>
        <v>99.66101694915254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150000</v>
      </c>
      <c r="M53" s="125">
        <f t="shared" ca="1" si="39"/>
        <v>141446</v>
      </c>
      <c r="N53" s="125">
        <f t="shared" ca="1" si="39"/>
        <v>128136</v>
      </c>
      <c r="O53" s="124">
        <f t="shared" ref="O53:O55" ca="1" si="40">IF(L53&gt;0,N53*100/L53,0)</f>
        <v>85.424000000000007</v>
      </c>
      <c r="P53" s="124">
        <f t="shared" ref="P53:P55" ca="1" si="41">IF(M53&gt;0,N53*100/M53,0)</f>
        <v>90.590048499073845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150000</v>
      </c>
      <c r="M55" s="125">
        <f t="shared" ca="1" si="43"/>
        <v>141446</v>
      </c>
      <c r="N55" s="125">
        <f t="shared" ca="1" si="43"/>
        <v>128136</v>
      </c>
      <c r="O55" s="124">
        <f t="shared" ca="1" si="40"/>
        <v>85.424000000000007</v>
      </c>
      <c r="P55" s="124">
        <f t="shared" ca="1" si="41"/>
        <v>90.590048499073845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150000</v>
      </c>
      <c r="M57" s="91">
        <f ca="1">IFERROR(__xludf.DUMMYFUNCTION("IMPORTRANGE(""https://docs.google.com/spreadsheets/d/1Yj_ptqi66GCucihVvJfMjLAmec39IyEx_6qawtMGysU/edit?usp=sharing"",""สบก!Z91"")"),141446)</f>
        <v>141446</v>
      </c>
      <c r="N57" s="91">
        <f ca="1">IFERROR(__xludf.DUMMYFUNCTION("IMPORTRANGE(""https://docs.google.com/spreadsheets/d/1Yj_ptqi66GCucihVvJfMjLAmec39IyEx_6qawtMGysU/edit?usp=sharing"",""สบก!AA91"")"),128136)</f>
        <v>128136</v>
      </c>
      <c r="O57" s="92">
        <f ca="1">IF(L57&gt;0,N57*100/L57,0)</f>
        <v>85.424000000000007</v>
      </c>
      <c r="P57" s="92">
        <f ca="1">IF(M57&gt;0,N57*100/M57,0)</f>
        <v>90.590048499073845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IFERROR(__xludf.DUMMYFUNCTION("IMPORTRANGE(""https://docs.google.com/spreadsheets/d/1Yj_ptqi66GCucihVvJfMjLAmec39IyEx_6qawtMGysU/edit?usp=sharing"",""สบก!V91"")"),150000)</f>
        <v>150000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IFERROR(__xludf.DUMMYFUNCTION("IMPORTRANGE(""https://docs.google.com/spreadsheets/d/1Yj_ptqi66GCucihVvJfMjLAmec39IyEx_6qawtMGysU/edit?usp=sharing"",""สบก!X91"")"),0)</f>
        <v>0</v>
      </c>
      <c r="M61" s="101"/>
      <c r="N61" s="91">
        <f ca="1">IFERROR(__xludf.DUMMYFUNCTION("IMPORTRANGE(""https://docs.google.com/spreadsheets/d/1Yj_ptqi66GCucihVvJfMjLAmec39IyEx_6qawtMGysU/edit?usp=sharing"",""สบก!AB91"")"),0)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IFERROR(__xludf.DUMMYFUNCTION("IMPORTRANGE(""https://docs.google.com/spreadsheets/d/1IYY_tgx_IHuhSq3AJ5eI5OnqOPBNLWSHKh2a30DoXe8/edit?usp=sharing"",""ระนอง!I9"")"),0)</f>
        <v>0</v>
      </c>
      <c r="J64" s="146">
        <f ca="1">IFERROR(__xludf.DUMMYFUNCTION("IMPORTRANGE(""https://docs.google.com/spreadsheets/d/1IYY_tgx_IHuhSq3AJ5eI5OnqOPBNLWSHKh2a30DoXe8/edit?usp=sharing"",""ระนอง!J9"")"),0)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IFERROR(__xludf.DUMMYFUNCTION("IMPORTRANGE(""https://docs.google.com/spreadsheets/d/1IYY_tgx_IHuhSq3AJ5eI5OnqOPBNLWSHKh2a30DoXe8/edit?usp=sharing"",""ระนอง!I10"")"),0)</f>
        <v>0</v>
      </c>
      <c r="J65" s="146">
        <f ca="1">IFERROR(__xludf.DUMMYFUNCTION("IMPORTRANGE(""https://docs.google.com/spreadsheets/d/1IYY_tgx_IHuhSq3AJ5eI5OnqOPBNLWSHKh2a30DoXe8/edit?usp=sharing"",""ระนอง!J10"")"),0)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IFERROR(__xludf.DUMMYFUNCTION("IMPORTRANGE(""https://docs.google.com/spreadsheets/d/1Yj_ptqi66GCucihVvJfMjLAmec39IyEx_6qawtMGysU/edit?usp=sharing"",""สบก!AI91"")"),0)</f>
        <v>0</v>
      </c>
      <c r="N70" s="174">
        <f ca="1">IFERROR(__xludf.DUMMYFUNCTION("IMPORTRANGE(""https://docs.google.com/spreadsheets/d/1Yj_ptqi66GCucihVvJfMjLAmec39IyEx_6qawtMGysU/edit?usp=sharing"",""สบก!AJ91"")"),0)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IFERROR(__xludf.DUMMYFUNCTION("IMPORTRANGE(""https://docs.google.com/spreadsheets/d/1Yj_ptqi66GCucihVvJfMjLAmec39IyEx_6qawtMGysU/edit?usp=sharing"",""สบก!AE91"")"),0)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IFERROR(__xludf.DUMMYFUNCTION("IMPORTRANGE(""https://docs.google.com/spreadsheets/d/1Yj_ptqi66GCucihVvJfMjLAmec39IyEx_6qawtMGysU/edit?usp=sharing"",""สบก!AF91"")"),0)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IFERROR(__xludf.DUMMYFUNCTION("IMPORTRANGE(""https://docs.google.com/spreadsheets/d/1Yj_ptqi66GCucihVvJfMjLAmec39IyEx_6qawtMGysU/edit?usp=sharing"",""สบก!AG91"")"),0)</f>
        <v>0</v>
      </c>
      <c r="M74" s="101"/>
      <c r="N74" s="91">
        <f ca="1">IFERROR(__xludf.DUMMYFUNCTION("IMPORTRANGE(""https://docs.google.com/spreadsheets/d/1Yj_ptqi66GCucihVvJfMjLAmec39IyEx_6qawtMGysU/edit?usp=sharing"",""สบก!AK91"")"),0)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IFERROR(__xludf.DUMMYFUNCTION("IMPORTRANGE(""https://docs.google.com/spreadsheets/d/1IYY_tgx_IHuhSq3AJ5eI5OnqOPBNLWSHKh2a30DoXe8/edit?usp=sharing"",""ระนอง!J16"")"),0)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IFERROR(__xludf.DUMMYFUNCTION("IMPORTRANGE(""https://docs.google.com/spreadsheets/d/1IYY_tgx_IHuhSq3AJ5eI5OnqOPBNLWSHKh2a30DoXe8/edit?usp=sharing"",""ระนอง!J17"")"),0)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IFERROR(__xludf.DUMMYFUNCTION("IMPORTRANGE(""https://docs.google.com/spreadsheets/d/1IYY_tgx_IHuhSq3AJ5eI5OnqOPBNLWSHKh2a30DoXe8/edit?usp=sharing"",""ระนอง!J18"")"),0)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IFERROR(__xludf.DUMMYFUNCTION("IMPORTRANGE(""https://docs.google.com/spreadsheets/d/1IYY_tgx_IHuhSq3AJ5eI5OnqOPBNLWSHKh2a30DoXe8/edit?usp=sharing"",""ระนอง!J19"")"),0)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IFERROR(__xludf.DUMMYFUNCTION("IMPORTRANGE(""https://docs.google.com/spreadsheets/d/1IYY_tgx_IHuhSq3AJ5eI5OnqOPBNLWSHKh2a30DoXe8/edit?usp=sharing"",""ระนอง!I20"")"),0)</f>
        <v>0</v>
      </c>
      <c r="J80" s="207">
        <f ca="1">IFERROR(__xludf.DUMMYFUNCTION("IMPORTRANGE(""https://docs.google.com/spreadsheets/d/1IYY_tgx_IHuhSq3AJ5eI5OnqOPBNLWSHKh2a30DoXe8/edit?usp=sharing"",""ระนอง!J20"")"),0)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IFERROR(__xludf.DUMMYFUNCTION("IMPORTRANGE(""https://docs.google.com/spreadsheets/d/1IYY_tgx_IHuhSq3AJ5eI5OnqOPBNLWSHKh2a30DoXe8/edit?usp=sharing"",""ระนอง!I21"")"),0)</f>
        <v>0</v>
      </c>
      <c r="J81" s="207">
        <f ca="1">IFERROR(__xludf.DUMMYFUNCTION("IMPORTRANGE(""https://docs.google.com/spreadsheets/d/1IYY_tgx_IHuhSq3AJ5eI5OnqOPBNLWSHKh2a30DoXe8/edit?usp=sharing"",""ระนอง!J21"")"),0)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IFERROR(__xludf.DUMMYFUNCTION("IMPORTRANGE(""https://docs.google.com/spreadsheets/d/1IYY_tgx_IHuhSq3AJ5eI5OnqOPBNLWSHKh2a30DoXe8/edit?usp=sharing"",""ระนอง!I22"")"),0)</f>
        <v>0</v>
      </c>
      <c r="J82" s="210">
        <f ca="1">IFERROR(__xludf.DUMMYFUNCTION("IMPORTRANGE(""https://docs.google.com/spreadsheets/d/1IYY_tgx_IHuhSq3AJ5eI5OnqOPBNLWSHKh2a30DoXe8/edit?usp=sharing"",""ระนอง!J22"")"),0)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IFERROR(__xludf.DUMMYFUNCTION("IMPORTRANGE(""https://docs.google.com/spreadsheets/d/1IYY_tgx_IHuhSq3AJ5eI5OnqOPBNLWSHKh2a30DoXe8/edit?usp=sharing"",""ระนอง!I23"")"),0)</f>
        <v>0</v>
      </c>
      <c r="J83" s="210">
        <f ca="1">IFERROR(__xludf.DUMMYFUNCTION("IMPORTRANGE(""https://docs.google.com/spreadsheets/d/1IYY_tgx_IHuhSq3AJ5eI5OnqOPBNLWSHKh2a30DoXe8/edit?usp=sharing"",""ระนอง!J23"")"),0)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IFERROR(__xludf.DUMMYFUNCTION("IMPORTRANGE(""https://docs.google.com/spreadsheets/d/1IYY_tgx_IHuhSq3AJ5eI5OnqOPBNLWSHKh2a30DoXe8/edit?usp=sharing"",""ระนอง!I24"")"),0)</f>
        <v>0</v>
      </c>
      <c r="J84" s="195">
        <f ca="1">IFERROR(__xludf.DUMMYFUNCTION("IMPORTRANGE(""https://docs.google.com/spreadsheets/d/1IYY_tgx_IHuhSq3AJ5eI5OnqOPBNLWSHKh2a30DoXe8/edit?usp=sharing"",""ระนอง!J24"")"),0)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IFERROR(__xludf.DUMMYFUNCTION("IMPORTRANGE(""https://docs.google.com/spreadsheets/d/1IYY_tgx_IHuhSq3AJ5eI5OnqOPBNLWSHKh2a30DoXe8/edit?usp=sharing"",""ระนอง!I25"")"),0)</f>
        <v>0</v>
      </c>
      <c r="J85" s="195">
        <f ca="1">IFERROR(__xludf.DUMMYFUNCTION("IMPORTRANGE(""https://docs.google.com/spreadsheets/d/1IYY_tgx_IHuhSq3AJ5eI5OnqOPBNLWSHKh2a30DoXe8/edit?usp=sharing"",""ระนอง!J25"")"),0)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IFERROR(__xludf.DUMMYFUNCTION("IMPORTRANGE(""https://docs.google.com/spreadsheets/d/1IYY_tgx_IHuhSq3AJ5eI5OnqOPBNLWSHKh2a30DoXe8/edit?usp=sharing"",""ระนอง!I26"")"),0)</f>
        <v>0</v>
      </c>
      <c r="J86" s="210">
        <f ca="1">IFERROR(__xludf.DUMMYFUNCTION("IMPORTRANGE(""https://docs.google.com/spreadsheets/d/1IYY_tgx_IHuhSq3AJ5eI5OnqOPBNLWSHKh2a30DoXe8/edit?usp=sharing"",""ระนอง!J26"")"),0)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IFERROR(__xludf.DUMMYFUNCTION("IMPORTRANGE(""https://docs.google.com/spreadsheets/d/1IYY_tgx_IHuhSq3AJ5eI5OnqOPBNLWSHKh2a30DoXe8/edit?usp=sharing"",""ระนอง!I27"")"),0)</f>
        <v>0</v>
      </c>
      <c r="J87" s="210">
        <f ca="1">IFERROR(__xludf.DUMMYFUNCTION("IMPORTRANGE(""https://docs.google.com/spreadsheets/d/1IYY_tgx_IHuhSq3AJ5eI5OnqOPBNLWSHKh2a30DoXe8/edit?usp=sharing"",""ระนอง!J27"")"),0)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IFERROR(__xludf.DUMMYFUNCTION("IMPORTRANGE(""https://docs.google.com/spreadsheets/d/1IYY_tgx_IHuhSq3AJ5eI5OnqOPBNLWSHKh2a30DoXe8/edit?usp=sharing"",""ระนอง!I28"")"),0)</f>
        <v>0</v>
      </c>
      <c r="J88" s="210">
        <f ca="1">IFERROR(__xludf.DUMMYFUNCTION("IMPORTRANGE(""https://docs.google.com/spreadsheets/d/1IYY_tgx_IHuhSq3AJ5eI5OnqOPBNLWSHKh2a30DoXe8/edit?usp=sharing"",""ระนอง!J28"")"),0)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IFERROR(__xludf.DUMMYFUNCTION("IMPORTRANGE(""https://docs.google.com/spreadsheets/d/1IYY_tgx_IHuhSq3AJ5eI5OnqOPBNLWSHKh2a30DoXe8/edit?usp=sharing"",""ระนอง!J29"")"),0)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IFERROR(__xludf.DUMMYFUNCTION("IMPORTRANGE(""https://docs.google.com/spreadsheets/d/1IYY_tgx_IHuhSq3AJ5eI5OnqOPBNLWSHKh2a30DoXe8/edit?usp=sharing"",""ระนอง!J30"")"),0)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IFERROR(__xludf.DUMMYFUNCTION("IMPORTRANGE(""https://docs.google.com/spreadsheets/d/1IYY_tgx_IHuhSq3AJ5eI5OnqOPBNLWSHKh2a30DoXe8/edit?usp=sharing"",""ระนอง!I32"")"),4)</f>
        <v>4</v>
      </c>
      <c r="J92" s="146">
        <f ca="1">IFERROR(__xludf.DUMMYFUNCTION("IMPORTRANGE(""https://docs.google.com/spreadsheets/d/1IYY_tgx_IHuhSq3AJ5eI5OnqOPBNLWSHKh2a30DoXe8/edit?usp=sharing"",""ระนอง!J32"")"),4)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IFERROR(__xludf.DUMMYFUNCTION("IMPORTRANGE(""https://docs.google.com/spreadsheets/d/1IYY_tgx_IHuhSq3AJ5eI5OnqOPBNLWSHKh2a30DoXe8/edit?usp=sharing"",""ระนอง!I33"")"),1)</f>
        <v>1</v>
      </c>
      <c r="J93" s="146">
        <f ca="1">IFERROR(__xludf.DUMMYFUNCTION("IMPORTRANGE(""https://docs.google.com/spreadsheets/d/1IYY_tgx_IHuhSq3AJ5eI5OnqOPBNLWSHKh2a30DoXe8/edit?usp=sharing"",""ระนอง!J33"")"),1)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145765</v>
      </c>
      <c r="O94" s="155">
        <f t="shared" ref="O94:O96" ca="1" si="53">IF(L94&gt;0,N94*100/L94,0)</f>
        <v>67.955710955710956</v>
      </c>
      <c r="P94" s="155">
        <f t="shared" ref="P94:P96" ca="1" si="54">IF(M94&gt;0,N94*100/M94,0)</f>
        <v>67.955710955710956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145765</v>
      </c>
      <c r="O96" s="160">
        <f t="shared" ca="1" si="53"/>
        <v>67.955710955710956</v>
      </c>
      <c r="P96" s="160">
        <f t="shared" ca="1" si="54"/>
        <v>67.955710955710956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IFERROR(__xludf.DUMMYFUNCTION("IMPORTRANGE(""https://docs.google.com/spreadsheets/d/1Yj_ptqi66GCucihVvJfMjLAmec39IyEx_6qawtMGysU/edit?usp=sharing"",""สบก!AR91"")"),122100)</f>
        <v>122100</v>
      </c>
      <c r="N98" s="174">
        <f ca="1">IFERROR(__xludf.DUMMYFUNCTION("IMPORTRANGE(""https://docs.google.com/spreadsheets/d/1Yj_ptqi66GCucihVvJfMjLAmec39IyEx_6qawtMGysU/edit?usp=sharing"",""สบก!AS91"")"),53365)</f>
        <v>53365</v>
      </c>
      <c r="O98" s="175">
        <f ca="1">IF(L98&gt;0,N98*100/L98,0)</f>
        <v>43.705978705978708</v>
      </c>
      <c r="P98" s="175">
        <f ca="1">IF(M98&gt;0,N98*100/M98,0)</f>
        <v>43.705978705978708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IFERROR(__xludf.DUMMYFUNCTION("IMPORTRANGE(""https://docs.google.com/spreadsheets/d/1Yj_ptqi66GCucihVvJfMjLAmec39IyEx_6qawtMGysU/edit?usp=sharing"",""สบก!AN91"")"),0)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IFERROR(__xludf.DUMMYFUNCTION("IMPORTRANGE(""https://docs.google.com/spreadsheets/d/1Yj_ptqi66GCucihVvJfMjLAmec39IyEx_6qawtMGysU/edit?usp=sharing"",""สบก!AO91"")"),122100)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IFERROR(__xludf.DUMMYFUNCTION("IMPORTRANGE(""https://docs.google.com/spreadsheets/d/1Yj_ptqi66GCucihVvJfMjLAmec39IyEx_6qawtMGysU/edit?usp=sharing"",""สบก!AP91"")"),92400)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IFERROR(__xludf.DUMMYFUNCTION("IMPORTRANGE(""https://docs.google.com/spreadsheets/d/1Yj_ptqi66GCucihVvJfMjLAmec39IyEx_6qawtMGysU/edit?usp=sharing"",""สบก!AT91"")"),92400)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IFERROR(__xludf.DUMMYFUNCTION("IMPORTRANGE(""https://docs.google.com/spreadsheets/d/1IYY_tgx_IHuhSq3AJ5eI5OnqOPBNLWSHKh2a30DoXe8/edit?usp=sharing"",""ระนอง!J39"")"),0)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IFERROR(__xludf.DUMMYFUNCTION("IMPORTRANGE(""https://docs.google.com/spreadsheets/d/1IYY_tgx_IHuhSq3AJ5eI5OnqOPBNLWSHKh2a30DoXe8/edit?usp=sharing"",""ระนอง!J40"")"),1)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IFERROR(__xludf.DUMMYFUNCTION("IMPORTRANGE(""https://docs.google.com/spreadsheets/d/1IYY_tgx_IHuhSq3AJ5eI5OnqOPBNLWSHKh2a30DoXe8/edit?usp=sharing"",""ระนอง!J41"")"),1)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IFERROR(__xludf.DUMMYFUNCTION("IMPORTRANGE(""https://docs.google.com/spreadsheets/d/1IYY_tgx_IHuhSq3AJ5eI5OnqOPBNLWSHKh2a30DoXe8/edit?usp=sharing"",""ระนอง!J42"")"),1)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IFERROR(__xludf.DUMMYFUNCTION("IMPORTRANGE(""https://docs.google.com/spreadsheets/d/1IYY_tgx_IHuhSq3AJ5eI5OnqOPBNLWSHKh2a30DoXe8/edit?usp=sharing"",""ระนอง!I43"")"),1)</f>
        <v>1</v>
      </c>
      <c r="J108" s="210">
        <f ca="1">IFERROR(__xludf.DUMMYFUNCTION("IMPORTRANGE(""https://docs.google.com/spreadsheets/d/1IYY_tgx_IHuhSq3AJ5eI5OnqOPBNLWSHKh2a30DoXe8/edit?usp=sharing"",""ระนอง!J43"")"),1)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IFERROR(__xludf.DUMMYFUNCTION("IMPORTRANGE(""https://docs.google.com/spreadsheets/d/1IYY_tgx_IHuhSq3AJ5eI5OnqOPBNLWSHKh2a30DoXe8/edit?usp=sharing"",""ระนอง!I44"")"),4)</f>
        <v>4</v>
      </c>
      <c r="J109" s="210">
        <f ca="1">IFERROR(__xludf.DUMMYFUNCTION("IMPORTRANGE(""https://docs.google.com/spreadsheets/d/1IYY_tgx_IHuhSq3AJ5eI5OnqOPBNLWSHKh2a30DoXe8/edit?usp=sharing"",""ระนอง!J44"")"),4)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IFERROR(__xludf.DUMMYFUNCTION("IMPORTRANGE(""https://docs.google.com/spreadsheets/d/1IYY_tgx_IHuhSq3AJ5eI5OnqOPBNLWSHKh2a30DoXe8/edit?usp=sharing"",""ระนอง!I45"")"),4)</f>
        <v>4</v>
      </c>
      <c r="J110" s="210">
        <f ca="1">IFERROR(__xludf.DUMMYFUNCTION("IMPORTRANGE(""https://docs.google.com/spreadsheets/d/1IYY_tgx_IHuhSq3AJ5eI5OnqOPBNLWSHKh2a30DoXe8/edit?usp=sharing"",""ระนอง!J45"")"),4)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IFERROR(__xludf.DUMMYFUNCTION("IMPORTRANGE(""https://docs.google.com/spreadsheets/d/1IYY_tgx_IHuhSq3AJ5eI5OnqOPBNLWSHKh2a30DoXe8/edit?usp=sharing"",""ระนอง!I46"")"),4)</f>
        <v>4</v>
      </c>
      <c r="J111" s="210">
        <f ca="1">IFERROR(__xludf.DUMMYFUNCTION("IMPORTRANGE(""https://docs.google.com/spreadsheets/d/1IYY_tgx_IHuhSq3AJ5eI5OnqOPBNLWSHKh2a30DoXe8/edit?usp=sharing"",""ระนอง!J46"")"),4)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IFERROR(__xludf.DUMMYFUNCTION("IMPORTRANGE(""https://docs.google.com/spreadsheets/d/1IYY_tgx_IHuhSq3AJ5eI5OnqOPBNLWSHKh2a30DoXe8/edit?usp=sharing"",""ระนอง!I47"")"),4)</f>
        <v>4</v>
      </c>
      <c r="J112" s="210">
        <f ca="1">IFERROR(__xludf.DUMMYFUNCTION("IMPORTRANGE(""https://docs.google.com/spreadsheets/d/1IYY_tgx_IHuhSq3AJ5eI5OnqOPBNLWSHKh2a30DoXe8/edit?usp=sharing"",""ระนอง!J47"")"),4)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IFERROR(__xludf.DUMMYFUNCTION("IMPORTRANGE(""https://docs.google.com/spreadsheets/d/1IYY_tgx_IHuhSq3AJ5eI5OnqOPBNLWSHKh2a30DoXe8/edit?usp=sharing"",""ระนอง!I48"")"),1)</f>
        <v>1</v>
      </c>
      <c r="J113" s="210">
        <f ca="1">IFERROR(__xludf.DUMMYFUNCTION("IMPORTRANGE(""https://docs.google.com/spreadsheets/d/1IYY_tgx_IHuhSq3AJ5eI5OnqOPBNLWSHKh2a30DoXe8/edit?usp=sharing"",""ระนอง!J48"")"),1)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IFERROR(__xludf.DUMMYFUNCTION("IMPORTRANGE(""https://docs.google.com/spreadsheets/d/1IYY_tgx_IHuhSq3AJ5eI5OnqOPBNLWSHKh2a30DoXe8/edit?usp=sharing"",""ระนอง!J49"")"),0)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IFERROR(__xludf.DUMMYFUNCTION("IMPORTRANGE(""https://docs.google.com/spreadsheets/d/1IYY_tgx_IHuhSq3AJ5eI5OnqOPBNLWSHKh2a30DoXe8/edit?usp=sharing"",""ระนอง!J50"")"),0)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IFERROR(__xludf.DUMMYFUNCTION("IMPORTRANGE(""https://docs.google.com/spreadsheets/d/1IYY_tgx_IHuhSq3AJ5eI5OnqOPBNLWSHKh2a30DoXe8/edit?usp=sharing"",""ระนอง!I52"")"),0)</f>
        <v>0</v>
      </c>
      <c r="J117" s="146">
        <f ca="1">IFERROR(__xludf.DUMMYFUNCTION("IMPORTRANGE(""https://docs.google.com/spreadsheets/d/1IYY_tgx_IHuhSq3AJ5eI5OnqOPBNLWSHKh2a30DoXe8/edit?usp=sharing"",""ระนอง!J52"")"),0)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IFERROR(__xludf.DUMMYFUNCTION("IMPORTRANGE(""https://docs.google.com/spreadsheets/d/1Yj_ptqi66GCucihVvJfMjLAmec39IyEx_6qawtMGysU/edit?usp=sharing"",""สบก!BA91"")"),0)</f>
        <v>0</v>
      </c>
      <c r="N122" s="174">
        <f ca="1">IFERROR(__xludf.DUMMYFUNCTION("IMPORTRANGE(""https://docs.google.com/spreadsheets/d/1Yj_ptqi66GCucihVvJfMjLAmec39IyEx_6qawtMGysU/edit?usp=sharing"",""สบก!BB91"")"),0)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IFERROR(__xludf.DUMMYFUNCTION("IMPORTRANGE(""https://docs.google.com/spreadsheets/d/1Yj_ptqi66GCucihVvJfMjLAmec39IyEx_6qawtMGysU/edit?usp=sharing"",""สบก!AW91"")"),0)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IFERROR(__xludf.DUMMYFUNCTION("IMPORTRANGE(""https://docs.google.com/spreadsheets/d/1Yj_ptqi66GCucihVvJfMjLAmec39IyEx_6qawtMGysU/edit?usp=sharing"",""สบก!AX91"")"),0)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IFERROR(__xludf.DUMMYFUNCTION("IMPORTRANGE(""https://docs.google.com/spreadsheets/d/1Yj_ptqi66GCucihVvJfMjLAmec39IyEx_6qawtMGysU/edit?usp=sharing"",""สบก!AY91"")"),0)</f>
        <v>0</v>
      </c>
      <c r="M126" s="101"/>
      <c r="N126" s="91">
        <f ca="1">IFERROR(__xludf.DUMMYFUNCTION("IMPORTRANGE(""https://docs.google.com/spreadsheets/d/1Yj_ptqi66GCucihVvJfMjLAmec39IyEx_6qawtMGysU/edit?usp=sharing"",""สบก!BC91"")"),0)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IFERROR(__xludf.DUMMYFUNCTION("IMPORTRANGE(""https://docs.google.com/spreadsheets/d/1IYY_tgx_IHuhSq3AJ5eI5OnqOPBNLWSHKh2a30DoXe8/edit?usp=sharing"",""ระนอง!J58"")"),0)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IFERROR(__xludf.DUMMYFUNCTION("IMPORTRANGE(""https://docs.google.com/spreadsheets/d/1IYY_tgx_IHuhSq3AJ5eI5OnqOPBNLWSHKh2a30DoXe8/edit?usp=sharing"",""ระนอง!J59"")"),0)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IFERROR(__xludf.DUMMYFUNCTION("IMPORTRANGE(""https://docs.google.com/spreadsheets/d/1IYY_tgx_IHuhSq3AJ5eI5OnqOPBNLWSHKh2a30DoXe8/edit?usp=sharing"",""ระนอง!J60"")"),0)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IFERROR(__xludf.DUMMYFUNCTION("IMPORTRANGE(""https://docs.google.com/spreadsheets/d/1IYY_tgx_IHuhSq3AJ5eI5OnqOPBNLWSHKh2a30DoXe8/edit?usp=sharing"",""ระนอง!J61"")"),0)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IFERROR(__xludf.DUMMYFUNCTION("IMPORTRANGE(""https://docs.google.com/spreadsheets/d/1IYY_tgx_IHuhSq3AJ5eI5OnqOPBNLWSHKh2a30DoXe8/edit?usp=sharing"",""ระนอง!I62"")"),0)</f>
        <v>0</v>
      </c>
      <c r="J132" s="210">
        <f ca="1">IFERROR(__xludf.DUMMYFUNCTION("IMPORTRANGE(""https://docs.google.com/spreadsheets/d/1IYY_tgx_IHuhSq3AJ5eI5OnqOPBNLWSHKh2a30DoXe8/edit?usp=sharing"",""ระนอง!J62"")"),0)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IFERROR(__xludf.DUMMYFUNCTION("IMPORTRANGE(""https://docs.google.com/spreadsheets/d/1IYY_tgx_IHuhSq3AJ5eI5OnqOPBNLWSHKh2a30DoXe8/edit?usp=sharing"",""ระนอง!I63"")"),0)</f>
        <v>0</v>
      </c>
      <c r="J133" s="210">
        <f ca="1">IFERROR(__xludf.DUMMYFUNCTION("IMPORTRANGE(""https://docs.google.com/spreadsheets/d/1IYY_tgx_IHuhSq3AJ5eI5OnqOPBNLWSHKh2a30DoXe8/edit?usp=sharing"",""ระนอง!J63"")"),0)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IFERROR(__xludf.DUMMYFUNCTION("IMPORTRANGE(""https://docs.google.com/spreadsheets/d/1IYY_tgx_IHuhSq3AJ5eI5OnqOPBNLWSHKh2a30DoXe8/edit?usp=sharing"",""ระนอง!J64"")"),0)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IFERROR(__xludf.DUMMYFUNCTION("IMPORTRANGE(""https://docs.google.com/spreadsheets/d/1IYY_tgx_IHuhSq3AJ5eI5OnqOPBNLWSHKh2a30DoXe8/edit?usp=sharing"",""ระนอง!J65"")"),0)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IFERROR(__xludf.DUMMYFUNCTION("IMPORTRANGE(""https://docs.google.com/spreadsheets/d/1IYY_tgx_IHuhSq3AJ5eI5OnqOPBNLWSHKh2a30DoXe8/edit?usp=sharing"",""ระนอง!I68"")"),0)</f>
        <v>0</v>
      </c>
      <c r="J138" s="273">
        <f ca="1">IFERROR(__xludf.DUMMYFUNCTION("IMPORTRANGE(""https://docs.google.com/spreadsheets/d/1IYY_tgx_IHuhSq3AJ5eI5OnqOPBNLWSHKh2a30DoXe8/edit?usp=sharing"",""ระนอง!J68"")"),0)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43600</v>
      </c>
      <c r="M140" s="156">
        <f t="shared" ca="1" si="64"/>
        <v>41625</v>
      </c>
      <c r="N140" s="156">
        <f t="shared" ca="1" si="64"/>
        <v>35000</v>
      </c>
      <c r="O140" s="155">
        <f t="shared" ref="O140:O142" ca="1" si="65">IF(L140&gt;0,N140*100/L140,0)</f>
        <v>80.275229357798167</v>
      </c>
      <c r="P140" s="155">
        <f t="shared" ref="P140:P142" ca="1" si="66">IF(M140&gt;0,N140*100/M140,0)</f>
        <v>84.084084084084083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43600</v>
      </c>
      <c r="M142" s="161">
        <f t="shared" ca="1" si="68"/>
        <v>41625</v>
      </c>
      <c r="N142" s="161">
        <f t="shared" ca="1" si="68"/>
        <v>35000</v>
      </c>
      <c r="O142" s="160">
        <f t="shared" ca="1" si="65"/>
        <v>80.275229357798167</v>
      </c>
      <c r="P142" s="160">
        <f t="shared" ca="1" si="66"/>
        <v>84.084084084084083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43600</v>
      </c>
      <c r="M144" s="173">
        <f ca="1">IFERROR(__xludf.DUMMYFUNCTION("IMPORTRANGE(""https://docs.google.com/spreadsheets/d/1Yj_ptqi66GCucihVvJfMjLAmec39IyEx_6qawtMGysU/edit?usp=sharing"",""สบก!BJ91"")"),41625)</f>
        <v>41625</v>
      </c>
      <c r="N144" s="174">
        <f ca="1">IFERROR(__xludf.DUMMYFUNCTION("IMPORTRANGE(""https://docs.google.com/spreadsheets/d/1Yj_ptqi66GCucihVvJfMjLAmec39IyEx_6qawtMGysU/edit?usp=sharing"",""สบก!BK91"")"),35000)</f>
        <v>35000</v>
      </c>
      <c r="O144" s="175">
        <f ca="1">IF(L144&gt;0,N144*100/L144,0)</f>
        <v>80.275229357798167</v>
      </c>
      <c r="P144" s="175">
        <f ca="1">IF(M144&gt;0,N144*100/M144,0)</f>
        <v>84.084084084084083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IFERROR(__xludf.DUMMYFUNCTION("IMPORTRANGE(""https://docs.google.com/spreadsheets/d/1Yj_ptqi66GCucihVvJfMjLAmec39IyEx_6qawtMGysU/edit?usp=sharing"",""สบก!BF91"")"),0)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IFERROR(__xludf.DUMMYFUNCTION("IMPORTRANGE(""https://docs.google.com/spreadsheets/d/1Yj_ptqi66GCucihVvJfMjLAmec39IyEx_6qawtMGysU/edit?usp=sharing"",""สบก!BG91"")"),43600)</f>
        <v>43600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IFERROR(__xludf.DUMMYFUNCTION("IMPORTRANGE(""https://docs.google.com/spreadsheets/d/1Yj_ptqi66GCucihVvJfMjLAmec39IyEx_6qawtMGysU/edit?usp=sharing"",""สบก!BH91"")"),0)</f>
        <v>0</v>
      </c>
      <c r="M148" s="101"/>
      <c r="N148" s="91">
        <f ca="1">IFERROR(__xludf.DUMMYFUNCTION("IMPORTRANGE(""https://docs.google.com/spreadsheets/d/1Yj_ptqi66GCucihVvJfMjLAmec39IyEx_6qawtMGysU/edit?usp=sharing"",""สบก!BL91"")"),0)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IFERROR(__xludf.DUMMYFUNCTION("IMPORTRANGE(""https://docs.google.com/spreadsheets/d/1IYY_tgx_IHuhSq3AJ5eI5OnqOPBNLWSHKh2a30DoXe8/edit?usp=sharing"",""ระนอง!I74"")"),4)</f>
        <v>4</v>
      </c>
      <c r="J149" s="281">
        <f ca="1">IFERROR(__xludf.DUMMYFUNCTION("IMPORTRANGE(""https://docs.google.com/spreadsheets/d/1IYY_tgx_IHuhSq3AJ5eI5OnqOPBNLWSHKh2a30DoXe8/edit?usp=sharing"",""ระนอง!J74"")"),1)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IFERROR(__xludf.DUMMYFUNCTION("IMPORTRANGE(""https://docs.google.com/spreadsheets/d/1IYY_tgx_IHuhSq3AJ5eI5OnqOPBNLWSHKh2a30DoXe8/edit?usp=sharing"",""ระนอง!J79"")"),0)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IFERROR(__xludf.DUMMYFUNCTION("IMPORTRANGE(""https://docs.google.com/spreadsheets/d/1IYY_tgx_IHuhSq3AJ5eI5OnqOPBNLWSHKh2a30DoXe8/edit?usp=sharing"",""ระนอง!J80"")"),1)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IFERROR(__xludf.DUMMYFUNCTION("IMPORTRANGE(""https://docs.google.com/spreadsheets/d/1IYY_tgx_IHuhSq3AJ5eI5OnqOPBNLWSHKh2a30DoXe8/edit?usp=sharing"",""ระนอง!J81"")"),1)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IFERROR(__xludf.DUMMYFUNCTION("IMPORTRANGE(""https://docs.google.com/spreadsheets/d/1IYY_tgx_IHuhSq3AJ5eI5OnqOPBNLWSHKh2a30DoXe8/edit?usp=sharing"",""ระนอง!J82"")"),1)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IFERROR(__xludf.DUMMYFUNCTION("IMPORTRANGE(""https://docs.google.com/spreadsheets/d/1IYY_tgx_IHuhSq3AJ5eI5OnqOPBNLWSHKh2a30DoXe8/edit?usp=sharing"",""ระนอง!I83"")"),4)</f>
        <v>4</v>
      </c>
      <c r="J158" s="195">
        <f ca="1">IFERROR(__xludf.DUMMYFUNCTION("IMPORTRANGE(""https://docs.google.com/spreadsheets/d/1IYY_tgx_IHuhSq3AJ5eI5OnqOPBNLWSHKh2a30DoXe8/edit?usp=sharing"",""ระนอง!J83"")"),1)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IFERROR(__xludf.DUMMYFUNCTION("IMPORTRANGE(""https://docs.google.com/spreadsheets/d/1IYY_tgx_IHuhSq3AJ5eI5OnqOPBNLWSHKh2a30DoXe8/edit?usp=sharing"",""ระนอง!J84"")"),0)</f>
        <v>0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IFERROR(__xludf.DUMMYFUNCTION("IMPORTRANGE(""https://docs.google.com/spreadsheets/d/1IYY_tgx_IHuhSq3AJ5eI5OnqOPBNLWSHKh2a30DoXe8/edit?usp=sharing"",""ระนอง!J85"")"),0)</f>
        <v>0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IFERROR(__xludf.DUMMYFUNCTION("IMPORTRANGE(""https://docs.google.com/spreadsheets/d/1IYY_tgx_IHuhSq3AJ5eI5OnqOPBNLWSHKh2a30DoXe8/edit?usp=sharing"",""ระนอง!J86"")"),0)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IFERROR(__xludf.DUMMYFUNCTION("IMPORTRANGE(""https://docs.google.com/spreadsheets/d/1IYY_tgx_IHuhSq3AJ5eI5OnqOPBNLWSHKh2a30DoXe8/edit?usp=sharing"",""ระนอง!J87"")"),0)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IFERROR(__xludf.DUMMYFUNCTION("IMPORTRANGE(""https://docs.google.com/spreadsheets/d/1IYY_tgx_IHuhSq3AJ5eI5OnqOPBNLWSHKh2a30DoXe8/edit?usp=sharing"",""ระนอง!J88"")"),0)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IFERROR(__xludf.DUMMYFUNCTION("IMPORTRANGE(""https://docs.google.com/spreadsheets/d/1IYY_tgx_IHuhSq3AJ5eI5OnqOPBNLWSHKh2a30DoXe8/edit?usp=sharing"",""ระนอง!I89"")"),2)</f>
        <v>2</v>
      </c>
      <c r="J164" s="290">
        <f ca="1">IFERROR(__xludf.DUMMYFUNCTION("IMPORTRANGE(""https://docs.google.com/spreadsheets/d/1IYY_tgx_IHuhSq3AJ5eI5OnqOPBNLWSHKh2a30DoXe8/edit?usp=sharing"",""ระนอง!J89"")"),2)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IFERROR(__xludf.DUMMYFUNCTION("IMPORTRANGE(""https://docs.google.com/spreadsheets/d/1IYY_tgx_IHuhSq3AJ5eI5OnqOPBNLWSHKh2a30DoXe8/edit?usp=sharing"",""ระนอง!J94"")"),0)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IFERROR(__xludf.DUMMYFUNCTION("IMPORTRANGE(""https://docs.google.com/spreadsheets/d/1IYY_tgx_IHuhSq3AJ5eI5OnqOPBNLWSHKh2a30DoXe8/edit?usp=sharing"",""ระนอง!J95"")"),1)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IFERROR(__xludf.DUMMYFUNCTION("IMPORTRANGE(""https://docs.google.com/spreadsheets/d/1IYY_tgx_IHuhSq3AJ5eI5OnqOPBNLWSHKh2a30DoXe8/edit?usp=sharing"",""ระนอง!J96"")"),1)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IFERROR(__xludf.DUMMYFUNCTION("IMPORTRANGE(""https://docs.google.com/spreadsheets/d/1IYY_tgx_IHuhSq3AJ5eI5OnqOPBNLWSHKh2a30DoXe8/edit?usp=sharing"",""ระนอง!J97"")"),1)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IFERROR(__xludf.DUMMYFUNCTION("IMPORTRANGE(""https://docs.google.com/spreadsheets/d/1IYY_tgx_IHuhSq3AJ5eI5OnqOPBNLWSHKh2a30DoXe8/edit?usp=sharing"",""ระนอง!I98"")"),2)</f>
        <v>2</v>
      </c>
      <c r="J173" s="195">
        <f ca="1">IFERROR(__xludf.DUMMYFUNCTION("IMPORTRANGE(""https://docs.google.com/spreadsheets/d/1IYY_tgx_IHuhSq3AJ5eI5OnqOPBNLWSHKh2a30DoXe8/edit?usp=sharing"",""ระนอง!J98"")"),2)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IFERROR(__xludf.DUMMYFUNCTION("IMPORTRANGE(""https://docs.google.com/spreadsheets/d/1IYY_tgx_IHuhSq3AJ5eI5OnqOPBNLWSHKh2a30DoXe8/edit?usp=sharing"",""ระนอง!J99"")"),0)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IFERROR(__xludf.DUMMYFUNCTION("IMPORTRANGE(""https://docs.google.com/spreadsheets/d/1IYY_tgx_IHuhSq3AJ5eI5OnqOPBNLWSHKh2a30DoXe8/edit?usp=sharing"",""ระนอง!J100"")"),0)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IFERROR(__xludf.DUMMYFUNCTION("IMPORTRANGE(""https://docs.google.com/spreadsheets/d/1IYY_tgx_IHuhSq3AJ5eI5OnqOPBNLWSHKh2a30DoXe8/edit?usp=sharing"",""ระนอง!I101"")"),0)</f>
        <v>0</v>
      </c>
      <c r="J176" s="290">
        <f ca="1">IFERROR(__xludf.DUMMYFUNCTION("IMPORTRANGE(""https://docs.google.com/spreadsheets/d/1IYY_tgx_IHuhSq3AJ5eI5OnqOPBNLWSHKh2a30DoXe8/edit?usp=sharing"",""ระนอง!J101"")"),0)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IFERROR(__xludf.DUMMYFUNCTION("IMPORTRANGE(""https://docs.google.com/spreadsheets/d/1IYY_tgx_IHuhSq3AJ5eI5OnqOPBNLWSHKh2a30DoXe8/edit?usp=sharing"",""ระนอง!J106"")"),0)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IFERROR(__xludf.DUMMYFUNCTION("IMPORTRANGE(""https://docs.google.com/spreadsheets/d/1IYY_tgx_IHuhSq3AJ5eI5OnqOPBNLWSHKh2a30DoXe8/edit?usp=sharing"",""ระนอง!J107"")"),0)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IFERROR(__xludf.DUMMYFUNCTION("IMPORTRANGE(""https://docs.google.com/spreadsheets/d/1IYY_tgx_IHuhSq3AJ5eI5OnqOPBNLWSHKh2a30DoXe8/edit?usp=sharing"",""ระนอง!J108"")"),0)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IFERROR(__xludf.DUMMYFUNCTION("IMPORTRANGE(""https://docs.google.com/spreadsheets/d/1IYY_tgx_IHuhSq3AJ5eI5OnqOPBNLWSHKh2a30DoXe8/edit?usp=sharing"",""ระนอง!J109"")"),0)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IFERROR(__xludf.DUMMYFUNCTION("IMPORTRANGE(""https://docs.google.com/spreadsheets/d/1IYY_tgx_IHuhSq3AJ5eI5OnqOPBNLWSHKh2a30DoXe8/edit?usp=sharing"",""ระนอง!I110"")"),0)</f>
        <v>0</v>
      </c>
      <c r="J185" s="210">
        <f ca="1">IFERROR(__xludf.DUMMYFUNCTION("IMPORTRANGE(""https://docs.google.com/spreadsheets/d/1IYY_tgx_IHuhSq3AJ5eI5OnqOPBNLWSHKh2a30DoXe8/edit?usp=sharing"",""ระนอง!J110"")"),0)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IFERROR(__xludf.DUMMYFUNCTION("IMPORTRANGE(""https://docs.google.com/spreadsheets/d/1IYY_tgx_IHuhSq3AJ5eI5OnqOPBNLWSHKh2a30DoXe8/edit?usp=sharing"",""ระนอง!I111"")"),0)</f>
        <v>0</v>
      </c>
      <c r="J186" s="210">
        <f ca="1">IFERROR(__xludf.DUMMYFUNCTION("IMPORTRANGE(""https://docs.google.com/spreadsheets/d/1IYY_tgx_IHuhSq3AJ5eI5OnqOPBNLWSHKh2a30DoXe8/edit?usp=sharing"",""ระนอง!J111"")"),0)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IFERROR(__xludf.DUMMYFUNCTION("IMPORTRANGE(""https://docs.google.com/spreadsheets/d/1IYY_tgx_IHuhSq3AJ5eI5OnqOPBNLWSHKh2a30DoXe8/edit?usp=sharing"",""ระนอง!J112"")"),0)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IFERROR(__xludf.DUMMYFUNCTION("IMPORTRANGE(""https://docs.google.com/spreadsheets/d/1IYY_tgx_IHuhSq3AJ5eI5OnqOPBNLWSHKh2a30DoXe8/edit?usp=sharing"",""ระนอง!J113"")"),0)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IFERROR(__xludf.DUMMYFUNCTION("IMPORTRANGE(""https://docs.google.com/spreadsheets/d/1IYY_tgx_IHuhSq3AJ5eI5OnqOPBNLWSHKh2a30DoXe8/edit?usp=sharing"",""ระนอง!I114"")"),12800)</f>
        <v>12800</v>
      </c>
      <c r="J189" s="290">
        <f ca="1">IFERROR(__xludf.DUMMYFUNCTION("IMPORTRANGE(""https://docs.google.com/spreadsheets/d/1IYY_tgx_IHuhSq3AJ5eI5OnqOPBNLWSHKh2a30DoXe8/edit?usp=sharing"",""ระนอง!J114"")"),0)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IFERROR(__xludf.DUMMYFUNCTION("IMPORTRANGE(""https://docs.google.com/spreadsheets/d/1IYY_tgx_IHuhSq3AJ5eI5OnqOPBNLWSHKh2a30DoXe8/edit?usp=sharing"",""ระนอง!J119"")"),0)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IFERROR(__xludf.DUMMYFUNCTION("IMPORTRANGE(""https://docs.google.com/spreadsheets/d/1IYY_tgx_IHuhSq3AJ5eI5OnqOPBNLWSHKh2a30DoXe8/edit?usp=sharing"",""ระนอง!J120"")"),1)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IFERROR(__xludf.DUMMYFUNCTION("IMPORTRANGE(""https://docs.google.com/spreadsheets/d/1IYY_tgx_IHuhSq3AJ5eI5OnqOPBNLWSHKh2a30DoXe8/edit?usp=sharing"",""ระนอง!J121"")"),1)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IFERROR(__xludf.DUMMYFUNCTION("IMPORTRANGE(""https://docs.google.com/spreadsheets/d/1IYY_tgx_IHuhSq3AJ5eI5OnqOPBNLWSHKh2a30DoXe8/edit?usp=sharing"",""ระนอง!J122"")"),1)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IFERROR(__xludf.DUMMYFUNCTION("IMPORTRANGE(""https://docs.google.com/spreadsheets/d/1IYY_tgx_IHuhSq3AJ5eI5OnqOPBNLWSHKh2a30DoXe8/edit?usp=sharing"",""ระนอง!I124"")"),12800)</f>
        <v>12800</v>
      </c>
      <c r="J199" s="195">
        <f ca="1">IFERROR(__xludf.DUMMYFUNCTION("IMPORTRANGE(""https://docs.google.com/spreadsheets/d/1IYY_tgx_IHuhSq3AJ5eI5OnqOPBNLWSHKh2a30DoXe8/edit?usp=sharing"",""ระนอง!J124"")"),0)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IFERROR(__xludf.DUMMYFUNCTION("IMPORTRANGE(""https://docs.google.com/spreadsheets/d/1IYY_tgx_IHuhSq3AJ5eI5OnqOPBNLWSHKh2a30DoXe8/edit?usp=sharing"",""ระนอง!I125"")"),12800)</f>
        <v>12800</v>
      </c>
      <c r="J200" s="195">
        <f ca="1">IFERROR(__xludf.DUMMYFUNCTION("IMPORTRANGE(""https://docs.google.com/spreadsheets/d/1IYY_tgx_IHuhSq3AJ5eI5OnqOPBNLWSHKh2a30DoXe8/edit?usp=sharing"",""ระนอง!J125"")"),0)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IFERROR(__xludf.DUMMYFUNCTION("IMPORTRANGE(""https://docs.google.com/spreadsheets/d/1IYY_tgx_IHuhSq3AJ5eI5OnqOPBNLWSHKh2a30DoXe8/edit?usp=sharing"",""ระนอง!I126"")"),0)</f>
        <v>0</v>
      </c>
      <c r="J201" s="195">
        <f ca="1">IFERROR(__xludf.DUMMYFUNCTION("IMPORTRANGE(""https://docs.google.com/spreadsheets/d/1IYY_tgx_IHuhSq3AJ5eI5OnqOPBNLWSHKh2a30DoXe8/edit?usp=sharing"",""ระนอง!J126"")"),0)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IFERROR(__xludf.DUMMYFUNCTION("IMPORTRANGE(""https://docs.google.com/spreadsheets/d/1IYY_tgx_IHuhSq3AJ5eI5OnqOPBNLWSHKh2a30DoXe8/edit?usp=sharing"",""ระนอง!J127"")"),0)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IFERROR(__xludf.DUMMYFUNCTION("IMPORTRANGE(""https://docs.google.com/spreadsheets/d/1IYY_tgx_IHuhSq3AJ5eI5OnqOPBNLWSHKh2a30DoXe8/edit?usp=sharing"",""ระนอง!J128"")"),0)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IFERROR(__xludf.DUMMYFUNCTION("IMPORTRANGE(""https://docs.google.com/spreadsheets/d/1IYY_tgx_IHuhSq3AJ5eI5OnqOPBNLWSHKh2a30DoXe8/edit?usp=sharing"",""ระนอง!I129"")"),0)</f>
        <v>0</v>
      </c>
      <c r="J204" s="290">
        <f ca="1">IFERROR(__xludf.DUMMYFUNCTION("IMPORTRANGE(""https://docs.google.com/spreadsheets/d/1IYY_tgx_IHuhSq3AJ5eI5OnqOPBNLWSHKh2a30DoXe8/edit?usp=sharing"",""ระนอง!J129"")"),0)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IFERROR(__xludf.DUMMYFUNCTION("IMPORTRANGE(""https://docs.google.com/spreadsheets/d/1IYY_tgx_IHuhSq3AJ5eI5OnqOPBNLWSHKh2a30DoXe8/edit?usp=sharing"",""ระนอง!J134"")"),0)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IFERROR(__xludf.DUMMYFUNCTION("IMPORTRANGE(""https://docs.google.com/spreadsheets/d/1IYY_tgx_IHuhSq3AJ5eI5OnqOPBNLWSHKh2a30DoXe8/edit?usp=sharing"",""ระนอง!J135"")"),0)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IFERROR(__xludf.DUMMYFUNCTION("IMPORTRANGE(""https://docs.google.com/spreadsheets/d/1IYY_tgx_IHuhSq3AJ5eI5OnqOPBNLWSHKh2a30DoXe8/edit?usp=sharing"",""ระนอง!J136"")"),0)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IFERROR(__xludf.DUMMYFUNCTION("IMPORTRANGE(""https://docs.google.com/spreadsheets/d/1IYY_tgx_IHuhSq3AJ5eI5OnqOPBNLWSHKh2a30DoXe8/edit?usp=sharing"",""ระนอง!J137"")"),0)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IFERROR(__xludf.DUMMYFUNCTION("IMPORTRANGE(""https://docs.google.com/spreadsheets/d/1IYY_tgx_IHuhSq3AJ5eI5OnqOPBNLWSHKh2a30DoXe8/edit?usp=sharing"",""ระนอง!I138"")"),0)</f>
        <v>0</v>
      </c>
      <c r="J213" s="210">
        <f ca="1">IFERROR(__xludf.DUMMYFUNCTION("IMPORTRANGE(""https://docs.google.com/spreadsheets/d/1IYY_tgx_IHuhSq3AJ5eI5OnqOPBNLWSHKh2a30DoXe8/edit?usp=sharing"",""ระนอง!J138"")"),0)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IFERROR(__xludf.DUMMYFUNCTION("IMPORTRANGE(""https://docs.google.com/spreadsheets/d/1IYY_tgx_IHuhSq3AJ5eI5OnqOPBNLWSHKh2a30DoXe8/edit?usp=sharing"",""ระนอง!I140"")"),0)</f>
        <v>0</v>
      </c>
      <c r="J215" s="210">
        <f ca="1">IFERROR(__xludf.DUMMYFUNCTION("IMPORTRANGE(""https://docs.google.com/spreadsheets/d/1IYY_tgx_IHuhSq3AJ5eI5OnqOPBNLWSHKh2a30DoXe8/edit?usp=sharing"",""ระนอง!J140"")"),0)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IFERROR(__xludf.DUMMYFUNCTION("IMPORTRANGE(""https://docs.google.com/spreadsheets/d/1IYY_tgx_IHuhSq3AJ5eI5OnqOPBNLWSHKh2a30DoXe8/edit?usp=sharing"",""ระนอง!I141"")"),0)</f>
        <v>0</v>
      </c>
      <c r="J216" s="210">
        <f ca="1">IFERROR(__xludf.DUMMYFUNCTION("IMPORTRANGE(""https://docs.google.com/spreadsheets/d/1IYY_tgx_IHuhSq3AJ5eI5OnqOPBNLWSHKh2a30DoXe8/edit?usp=sharing"",""ระนอง!J141"")"),0)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IFERROR(__xludf.DUMMYFUNCTION("IMPORTRANGE(""https://docs.google.com/spreadsheets/d/1IYY_tgx_IHuhSq3AJ5eI5OnqOPBNLWSHKh2a30DoXe8/edit?usp=sharing"",""ระนอง!J142"")"),0)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IFERROR(__xludf.DUMMYFUNCTION("IMPORTRANGE(""https://docs.google.com/spreadsheets/d/1IYY_tgx_IHuhSq3AJ5eI5OnqOPBNLWSHKh2a30DoXe8/edit?usp=sharing"",""ระนอง!J143"")"),0)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IFERROR(__xludf.DUMMYFUNCTION("IMPORTRANGE(""https://docs.google.com/spreadsheets/d/1IYY_tgx_IHuhSq3AJ5eI5OnqOPBNLWSHKh2a30DoXe8/edit?usp=sharing"",""ระนอง!I144"")"),13)</f>
        <v>13</v>
      </c>
      <c r="J219" s="273">
        <f ca="1">IFERROR(__xludf.DUMMYFUNCTION("IMPORTRANGE(""https://docs.google.com/spreadsheets/d/1IYY_tgx_IHuhSq3AJ5eI5OnqOPBNLWSHKh2a30DoXe8/edit?usp=sharing"",""ระนอง!J144"")"),13)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IFERROR(__xludf.DUMMYFUNCTION("IMPORTRANGE(""https://docs.google.com/spreadsheets/d/1Yj_ptqi66GCucihVvJfMjLAmec39IyEx_6qawtMGysU/edit?usp=sharing"",""สบก!BS91"")"),19295)</f>
        <v>19295</v>
      </c>
      <c r="N224" s="174">
        <f ca="1">IFERROR(__xludf.DUMMYFUNCTION("IMPORTRANGE(""https://docs.google.com/spreadsheets/d/1Yj_ptqi66GCucihVvJfMjLAmec39IyEx_6qawtMGysU/edit?usp=sharing"",""สบก!BT91"")"),19295)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IFERROR(__xludf.DUMMYFUNCTION("IMPORTRANGE(""https://docs.google.com/spreadsheets/d/1Yj_ptqi66GCucihVvJfMjLAmec39IyEx_6qawtMGysU/edit?usp=sharing"",""สบก!BO91"")"),0)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IFERROR(__xludf.DUMMYFUNCTION("IMPORTRANGE(""https://docs.google.com/spreadsheets/d/1Yj_ptqi66GCucihVvJfMjLAmec39IyEx_6qawtMGysU/edit?usp=sharing"",""สบก!BP91"")"),19295)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IFERROR(__xludf.DUMMYFUNCTION("IMPORTRANGE(""https://docs.google.com/spreadsheets/d/1Yj_ptqi66GCucihVvJfMjLAmec39IyEx_6qawtMGysU/edit?usp=sharing"",""สบก!BQ91"")"),0)</f>
        <v>0</v>
      </c>
      <c r="M228" s="101"/>
      <c r="N228" s="91">
        <f ca="1">IFERROR(__xludf.DUMMYFUNCTION("IMPORTRANGE(""https://docs.google.com/spreadsheets/d/1Yj_ptqi66GCucihVvJfMjLAmec39IyEx_6qawtMGysU/edit?usp=sharing"",""สบก!BU91"")"),0)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IFERROR(__xludf.DUMMYFUNCTION("IMPORTRANGE(""https://docs.google.com/spreadsheets/d/1IYY_tgx_IHuhSq3AJ5eI5OnqOPBNLWSHKh2a30DoXe8/edit?usp=sharing"",""ระนอง!I149"")"),13)</f>
        <v>13</v>
      </c>
      <c r="J229" s="273">
        <f ca="1">IFERROR(__xludf.DUMMYFUNCTION("IMPORTRANGE(""https://docs.google.com/spreadsheets/d/1IYY_tgx_IHuhSq3AJ5eI5OnqOPBNLWSHKh2a30DoXe8/edit?usp=sharing"",""ระนอง!J149"")"),13)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IFERROR(__xludf.DUMMYFUNCTION("IMPORTRANGE(""https://docs.google.com/spreadsheets/d/1IYY_tgx_IHuhSq3AJ5eI5OnqOPBNLWSHKh2a30DoXe8/edit?usp=sharing"",""ระนอง!J151"")"),0)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IFERROR(__xludf.DUMMYFUNCTION("IMPORTRANGE(""https://docs.google.com/spreadsheets/d/1IYY_tgx_IHuhSq3AJ5eI5OnqOPBNLWSHKh2a30DoXe8/edit?usp=sharing"",""ระนอง!J152"")"),1)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IFERROR(__xludf.DUMMYFUNCTION("IMPORTRANGE(""https://docs.google.com/spreadsheets/d/1IYY_tgx_IHuhSq3AJ5eI5OnqOPBNLWSHKh2a30DoXe8/edit?usp=sharing"",""ระนอง!J153"")"),1)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IFERROR(__xludf.DUMMYFUNCTION("IMPORTRANGE(""https://docs.google.com/spreadsheets/d/1IYY_tgx_IHuhSq3AJ5eI5OnqOPBNLWSHKh2a30DoXe8/edit?usp=sharing"",""ระนอง!J154"")"),1)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IFERROR(__xludf.DUMMYFUNCTION("IMPORTRANGE(""https://docs.google.com/spreadsheets/d/1IYY_tgx_IHuhSq3AJ5eI5OnqOPBNLWSHKh2a30DoXe8/edit?usp=sharing"",""ระนอง!I155"")"),13)</f>
        <v>13</v>
      </c>
      <c r="J235" s="195">
        <f ca="1">IFERROR(__xludf.DUMMYFUNCTION("IMPORTRANGE(""https://docs.google.com/spreadsheets/d/1IYY_tgx_IHuhSq3AJ5eI5OnqOPBNLWSHKh2a30DoXe8/edit?usp=sharing"",""ระนอง!J155"")"),13)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IFERROR(__xludf.DUMMYFUNCTION("IMPORTRANGE(""https://docs.google.com/spreadsheets/d/1IYY_tgx_IHuhSq3AJ5eI5OnqOPBNLWSHKh2a30DoXe8/edit?usp=sharing"",""ระนอง!J156"")"),0)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IFERROR(__xludf.DUMMYFUNCTION("IMPORTRANGE(""https://docs.google.com/spreadsheets/d/1IYY_tgx_IHuhSq3AJ5eI5OnqOPBNLWSHKh2a30DoXe8/edit?usp=sharing"",""ระนอง!J157"")"),0)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IFERROR(__xludf.DUMMYFUNCTION("IMPORTRANGE(""https://docs.google.com/spreadsheets/d/1IYY_tgx_IHuhSq3AJ5eI5OnqOPBNLWSHKh2a30DoXe8/edit?usp=sharing"",""ระนอง!I158"")"),0)</f>
        <v>0</v>
      </c>
      <c r="J238" s="273">
        <f ca="1">IFERROR(__xludf.DUMMYFUNCTION("IMPORTRANGE(""https://docs.google.com/spreadsheets/d/1IYY_tgx_IHuhSq3AJ5eI5OnqOPBNLWSHKh2a30DoXe8/edit?usp=sharing"",""ระนอง!J158"")"),0)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IFERROR(__xludf.DUMMYFUNCTION("IMPORTRANGE(""https://docs.google.com/spreadsheets/d/1IYY_tgx_IHuhSq3AJ5eI5OnqOPBNLWSHKh2a30DoXe8/edit?usp=sharing"",""ระนอง!J159"")"),"")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IFERROR(__xludf.DUMMYFUNCTION("IMPORTRANGE(""https://docs.google.com/spreadsheets/d/1IYY_tgx_IHuhSq3AJ5eI5OnqOPBNLWSHKh2a30DoXe8/edit?usp=sharing"",""ระนอง!J161"")"),0)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IFERROR(__xludf.DUMMYFUNCTION("IMPORTRANGE(""https://docs.google.com/spreadsheets/d/1IYY_tgx_IHuhSq3AJ5eI5OnqOPBNLWSHKh2a30DoXe8/edit?usp=sharing"",""ระนอง!J162"")"),0)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IFERROR(__xludf.DUMMYFUNCTION("IMPORTRANGE(""https://docs.google.com/spreadsheets/d/1IYY_tgx_IHuhSq3AJ5eI5OnqOPBNLWSHKh2a30DoXe8/edit?usp=sharing"",""ระนอง!J163"")"),0)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IFERROR(__xludf.DUMMYFUNCTION("IMPORTRANGE(""https://docs.google.com/spreadsheets/d/1IYY_tgx_IHuhSq3AJ5eI5OnqOPBNLWSHKh2a30DoXe8/edit?usp=sharing"",""ระนอง!I164"")"),0)</f>
        <v>0</v>
      </c>
      <c r="J244" s="194">
        <f ca="1">IFERROR(__xludf.DUMMYFUNCTION("IMPORTRANGE(""https://docs.google.com/spreadsheets/d/1IYY_tgx_IHuhSq3AJ5eI5OnqOPBNLWSHKh2a30DoXe8/edit?usp=sharing"",""ระนอง!J164"")"),0)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IFERROR(__xludf.DUMMYFUNCTION("IMPORTRANGE(""https://docs.google.com/spreadsheets/d/1IYY_tgx_IHuhSq3AJ5eI5OnqOPBNLWSHKh2a30DoXe8/edit?usp=sharing"",""ระนอง!J165"")"),0)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IFERROR(__xludf.DUMMYFUNCTION("IMPORTRANGE(""https://docs.google.com/spreadsheets/d/1IYY_tgx_IHuhSq3AJ5eI5OnqOPBNLWSHKh2a30DoXe8/edit?usp=sharing"",""ระนอง!J166"")"),0)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IFERROR(__xludf.DUMMYFUNCTION("IMPORTRANGE(""https://docs.google.com/spreadsheets/d/1IYY_tgx_IHuhSq3AJ5eI5OnqOPBNLWSHKh2a30DoXe8/edit?usp=sharing"",""ระนอง!I169"")"),0)</f>
        <v>0</v>
      </c>
      <c r="J249" s="322">
        <f ca="1">IFERROR(__xludf.DUMMYFUNCTION("IMPORTRANGE(""https://docs.google.com/spreadsheets/d/1IYY_tgx_IHuhSq3AJ5eI5OnqOPBNLWSHKh2a30DoXe8/edit?usp=sharing"",""ระนอง!J169"")"),0)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IFERROR(__xludf.DUMMYFUNCTION("IMPORTRANGE(""https://docs.google.com/spreadsheets/d/1Yj_ptqi66GCucihVvJfMjLAmec39IyEx_6qawtMGysU/edit?usp=sharing"",""สบก!CB91"")"),0)</f>
        <v>0</v>
      </c>
      <c r="N254" s="174">
        <f ca="1">IFERROR(__xludf.DUMMYFUNCTION("IMPORTRANGE(""https://docs.google.com/spreadsheets/d/1Yj_ptqi66GCucihVvJfMjLAmec39IyEx_6qawtMGysU/edit?usp=sharing"",""สบก!CC91"")"),0)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IFERROR(__xludf.DUMMYFUNCTION("IMPORTRANGE(""https://docs.google.com/spreadsheets/d/1Yj_ptqi66GCucihVvJfMjLAmec39IyEx_6qawtMGysU/edit?usp=sharing"",""สบก!BX91"")"),0)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IFERROR(__xludf.DUMMYFUNCTION("IMPORTRANGE(""https://docs.google.com/spreadsheets/d/1Yj_ptqi66GCucihVvJfMjLAmec39IyEx_6qawtMGysU/edit?usp=sharing"",""สบก!BY91"")"),0)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IFERROR(__xludf.DUMMYFUNCTION("IMPORTRANGE(""https://docs.google.com/spreadsheets/d/1Yj_ptqi66GCucihVvJfMjLAmec39IyEx_6qawtMGysU/edit?usp=sharing"",""สบก!BZ91"")"),0)</f>
        <v>0</v>
      </c>
      <c r="M258" s="101"/>
      <c r="N258" s="91">
        <f ca="1">IFERROR(__xludf.DUMMYFUNCTION("IMPORTRANGE(""https://docs.google.com/spreadsheets/d/1Yj_ptqi66GCucihVvJfMjLAmec39IyEx_6qawtMGysU/edit?usp=sharing"",""สบก!CD91"")"),0)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IFERROR(__xludf.DUMMYFUNCTION("IMPORTRANGE(""https://docs.google.com/spreadsheets/d/1IYY_tgx_IHuhSq3AJ5eI5OnqOPBNLWSHKh2a30DoXe8/edit?usp=sharing"",""ระนอง!J175"")"),0)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IFERROR(__xludf.DUMMYFUNCTION("IMPORTRANGE(""https://docs.google.com/spreadsheets/d/1IYY_tgx_IHuhSq3AJ5eI5OnqOPBNLWSHKh2a30DoXe8/edit?usp=sharing"",""ระนอง!J176"")"),0)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IFERROR(__xludf.DUMMYFUNCTION("IMPORTRANGE(""https://docs.google.com/spreadsheets/d/1IYY_tgx_IHuhSq3AJ5eI5OnqOPBNLWSHKh2a30DoXe8/edit?usp=sharing"",""ระนอง!J177"")"),0)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IFERROR(__xludf.DUMMYFUNCTION("IMPORTRANGE(""https://docs.google.com/spreadsheets/d/1IYY_tgx_IHuhSq3AJ5eI5OnqOPBNLWSHKh2a30DoXe8/edit?usp=sharing"",""ระนอง!J178"")"),0)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IFERROR(__xludf.DUMMYFUNCTION("IMPORTRANGE(""https://docs.google.com/spreadsheets/d/1IYY_tgx_IHuhSq3AJ5eI5OnqOPBNLWSHKh2a30DoXe8/edit?usp=sharing"",""ระนอง!I179"")"),0)</f>
        <v>0</v>
      </c>
      <c r="J264" s="195">
        <f ca="1">IFERROR(__xludf.DUMMYFUNCTION("IMPORTRANGE(""https://docs.google.com/spreadsheets/d/1IYY_tgx_IHuhSq3AJ5eI5OnqOPBNLWSHKh2a30DoXe8/edit?usp=sharing"",""ระนอง!J179"")"),0)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IFERROR(__xludf.DUMMYFUNCTION("IMPORTRANGE(""https://docs.google.com/spreadsheets/d/1IYY_tgx_IHuhSq3AJ5eI5OnqOPBNLWSHKh2a30DoXe8/edit?usp=sharing"",""ระนอง!I180"")"),0)</f>
        <v>0</v>
      </c>
      <c r="J265" s="195">
        <f ca="1">IFERROR(__xludf.DUMMYFUNCTION("IMPORTRANGE(""https://docs.google.com/spreadsheets/d/1IYY_tgx_IHuhSq3AJ5eI5OnqOPBNLWSHKh2a30DoXe8/edit?usp=sharing"",""ระนอง!J180"")"),0)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IFERROR(__xludf.DUMMYFUNCTION("IMPORTRANGE(""https://docs.google.com/spreadsheets/d/1IYY_tgx_IHuhSq3AJ5eI5OnqOPBNLWSHKh2a30DoXe8/edit?usp=sharing"",""ระนอง!I181"")"),0)</f>
        <v>0</v>
      </c>
      <c r="J266" s="195">
        <f ca="1">IFERROR(__xludf.DUMMYFUNCTION("IMPORTRANGE(""https://docs.google.com/spreadsheets/d/1IYY_tgx_IHuhSq3AJ5eI5OnqOPBNLWSHKh2a30DoXe8/edit?usp=sharing"",""ระนอง!J181"")"),0)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IFERROR(__xludf.DUMMYFUNCTION("IMPORTRANGE(""https://docs.google.com/spreadsheets/d/1IYY_tgx_IHuhSq3AJ5eI5OnqOPBNLWSHKh2a30DoXe8/edit?usp=sharing"",""ระนอง!I182"")"),0)</f>
        <v>0</v>
      </c>
      <c r="J267" s="195">
        <f ca="1">IFERROR(__xludf.DUMMYFUNCTION("IMPORTRANGE(""https://docs.google.com/spreadsheets/d/1IYY_tgx_IHuhSq3AJ5eI5OnqOPBNLWSHKh2a30DoXe8/edit?usp=sharing"",""ระนอง!J182"")"),0)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IFERROR(__xludf.DUMMYFUNCTION("IMPORTRANGE(""https://docs.google.com/spreadsheets/d/1IYY_tgx_IHuhSq3AJ5eI5OnqOPBNLWSHKh2a30DoXe8/edit?usp=sharing"",""ระนอง!J183"")"),0)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IFERROR(__xludf.DUMMYFUNCTION("IMPORTRANGE(""https://docs.google.com/spreadsheets/d/1IYY_tgx_IHuhSq3AJ5eI5OnqOPBNLWSHKh2a30DoXe8/edit?usp=sharing"",""ระนอง!J184"")"),0)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IFERROR(__xludf.DUMMYFUNCTION("IMPORTRANGE(""https://docs.google.com/spreadsheets/d/1IYY_tgx_IHuhSq3AJ5eI5OnqOPBNLWSHKh2a30DoXe8/edit?usp=sharing"",""ระนอง!I185"")"),0)</f>
        <v>0</v>
      </c>
      <c r="J270" s="322">
        <f ca="1">IFERROR(__xludf.DUMMYFUNCTION("IMPORTRANGE(""https://docs.google.com/spreadsheets/d/1IYY_tgx_IHuhSq3AJ5eI5OnqOPBNLWSHKh2a30DoXe8/edit?usp=sharing"",""ระนอง!J185"")"),0)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IFERROR(__xludf.DUMMYFUNCTION("IMPORTRANGE(""https://docs.google.com/spreadsheets/d/1Yj_ptqi66GCucihVvJfMjLAmec39IyEx_6qawtMGysU/edit?usp=sharing"",""สบก!CK91"")"),0)</f>
        <v>0</v>
      </c>
      <c r="N275" s="174">
        <f ca="1">IFERROR(__xludf.DUMMYFUNCTION("IMPORTRANGE(""https://docs.google.com/spreadsheets/d/1Yj_ptqi66GCucihVvJfMjLAmec39IyEx_6qawtMGysU/edit?usp=sharing"",""สบก!CL91"")"),0)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IFERROR(__xludf.DUMMYFUNCTION("IMPORTRANGE(""https://docs.google.com/spreadsheets/d/1Yj_ptqi66GCucihVvJfMjLAmec39IyEx_6qawtMGysU/edit?usp=sharing"",""สบก!CG91"")"),0)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IFERROR(__xludf.DUMMYFUNCTION("IMPORTRANGE(""https://docs.google.com/spreadsheets/d/1Yj_ptqi66GCucihVvJfMjLAmec39IyEx_6qawtMGysU/edit?usp=sharing"",""สบก!CH91"")"),0)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IFERROR(__xludf.DUMMYFUNCTION("IMPORTRANGE(""https://docs.google.com/spreadsheets/d/1Yj_ptqi66GCucihVvJfMjLAmec39IyEx_6qawtMGysU/edit?usp=sharing"",""สบก!CI91"")"),0)</f>
        <v>0</v>
      </c>
      <c r="M279" s="101"/>
      <c r="N279" s="91">
        <f ca="1">IFERROR(__xludf.DUMMYFUNCTION("IMPORTRANGE(""https://docs.google.com/spreadsheets/d/1Yj_ptqi66GCucihVvJfMjLAmec39IyEx_6qawtMGysU/edit?usp=sharing"",""สบก!CM91"")"),0)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IFERROR(__xludf.DUMMYFUNCTION("IMPORTRANGE(""https://docs.google.com/spreadsheets/d/1IYY_tgx_IHuhSq3AJ5eI5OnqOPBNLWSHKh2a30DoXe8/edit?usp=sharing"",""ระนอง!J191"")"),0)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IFERROR(__xludf.DUMMYFUNCTION("IMPORTRANGE(""https://docs.google.com/spreadsheets/d/1IYY_tgx_IHuhSq3AJ5eI5OnqOPBNLWSHKh2a30DoXe8/edit?usp=sharing"",""ระนอง!J192"")"),0)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IFERROR(__xludf.DUMMYFUNCTION("IMPORTRANGE(""https://docs.google.com/spreadsheets/d/1IYY_tgx_IHuhSq3AJ5eI5OnqOPBNLWSHKh2a30DoXe8/edit?usp=sharing"",""ระนอง!J193"")"),0)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IFERROR(__xludf.DUMMYFUNCTION("IMPORTRANGE(""https://docs.google.com/spreadsheets/d/1IYY_tgx_IHuhSq3AJ5eI5OnqOPBNLWSHKh2a30DoXe8/edit?usp=sharing"",""ระนอง!J194"")"),0)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IFERROR(__xludf.DUMMYFUNCTION("IMPORTRANGE(""https://docs.google.com/spreadsheets/d/1IYY_tgx_IHuhSq3AJ5eI5OnqOPBNLWSHKh2a30DoXe8/edit?usp=sharing"",""ระนอง!I195"")"),0)</f>
        <v>0</v>
      </c>
      <c r="J285" s="195">
        <f ca="1">IFERROR(__xludf.DUMMYFUNCTION("IMPORTRANGE(""https://docs.google.com/spreadsheets/d/1IYY_tgx_IHuhSq3AJ5eI5OnqOPBNLWSHKh2a30DoXe8/edit?usp=sharing"",""ระนอง!J195"")"),0)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IFERROR(__xludf.DUMMYFUNCTION("IMPORTRANGE(""https://docs.google.com/spreadsheets/d/1IYY_tgx_IHuhSq3AJ5eI5OnqOPBNLWSHKh2a30DoXe8/edit?usp=sharing"",""ระนอง!J196"")"),0)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IFERROR(__xludf.DUMMYFUNCTION("IMPORTRANGE(""https://docs.google.com/spreadsheets/d/1IYY_tgx_IHuhSq3AJ5eI5OnqOPBNLWSHKh2a30DoXe8/edit?usp=sharing"",""ระนอง!J197"")"),0)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IFERROR(__xludf.DUMMYFUNCTION("IMPORTRANGE(""https://docs.google.com/spreadsheets/d/1IYY_tgx_IHuhSq3AJ5eI5OnqOPBNLWSHKh2a30DoXe8/edit?usp=sharing"",""ระนอง!I199"")"),0)</f>
        <v>0</v>
      </c>
      <c r="J289" s="322">
        <f ca="1">IFERROR(__xludf.DUMMYFUNCTION("IMPORTRANGE(""https://docs.google.com/spreadsheets/d/1IYY_tgx_IHuhSq3AJ5eI5OnqOPBNLWSHKh2a30DoXe8/edit?usp=sharing"",""ระนอง!J199"")"),0)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IFERROR(__xludf.DUMMYFUNCTION("IMPORTRANGE(""https://docs.google.com/spreadsheets/d/1Yj_ptqi66GCucihVvJfMjLAmec39IyEx_6qawtMGysU/edit?usp=sharing"",""สบก!CT91"")"),0)</f>
        <v>0</v>
      </c>
      <c r="N294" s="174">
        <f ca="1">IFERROR(__xludf.DUMMYFUNCTION("IMPORTRANGE(""https://docs.google.com/spreadsheets/d/1Yj_ptqi66GCucihVvJfMjLAmec39IyEx_6qawtMGysU/edit?usp=sharing"",""สบก!CU91"")"),0)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IFERROR(__xludf.DUMMYFUNCTION("IMPORTRANGE(""https://docs.google.com/spreadsheets/d/1Yj_ptqi66GCucihVvJfMjLAmec39IyEx_6qawtMGysU/edit?usp=sharing"",""สบก!CP91"")"),0)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IFERROR(__xludf.DUMMYFUNCTION("IMPORTRANGE(""https://docs.google.com/spreadsheets/d/1Yj_ptqi66GCucihVvJfMjLAmec39IyEx_6qawtMGysU/edit?usp=sharing"",""สบก!CQ91"")"),0)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IFERROR(__xludf.DUMMYFUNCTION("IMPORTRANGE(""https://docs.google.com/spreadsheets/d/1Yj_ptqi66GCucihVvJfMjLAmec39IyEx_6qawtMGysU/edit?usp=sharing"",""สบก!CR91"")"),0)</f>
        <v>0</v>
      </c>
      <c r="M298" s="101"/>
      <c r="N298" s="91">
        <f ca="1">IFERROR(__xludf.DUMMYFUNCTION("IMPORTRANGE(""https://docs.google.com/spreadsheets/d/1Yj_ptqi66GCucihVvJfMjLAmec39IyEx_6qawtMGysU/edit?usp=sharing"",""สบก!CV91"")"),0)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IFERROR(__xludf.DUMMYFUNCTION("IMPORTRANGE(""https://docs.google.com/spreadsheets/d/1IYY_tgx_IHuhSq3AJ5eI5OnqOPBNLWSHKh2a30DoXe8/edit?usp=sharing"",""ระนอง!J205"")"),0)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IFERROR(__xludf.DUMMYFUNCTION("IMPORTRANGE(""https://docs.google.com/spreadsheets/d/1IYY_tgx_IHuhSq3AJ5eI5OnqOPBNLWSHKh2a30DoXe8/edit?usp=sharing"",""ระนอง!J206"")"),0)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IFERROR(__xludf.DUMMYFUNCTION("IMPORTRANGE(""https://docs.google.com/spreadsheets/d/1IYY_tgx_IHuhSq3AJ5eI5OnqOPBNLWSHKh2a30DoXe8/edit?usp=sharing"",""ระนอง!J207"")"),0)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IFERROR(__xludf.DUMMYFUNCTION("IMPORTRANGE(""https://docs.google.com/spreadsheets/d/1IYY_tgx_IHuhSq3AJ5eI5OnqOPBNLWSHKh2a30DoXe8/edit?usp=sharing"",""ระนอง!J208"")"),0)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IFERROR(__xludf.DUMMYFUNCTION("IMPORTRANGE(""https://docs.google.com/spreadsheets/d/1IYY_tgx_IHuhSq3AJ5eI5OnqOPBNLWSHKh2a30DoXe8/edit?usp=sharing"",""ระนอง!I209"")"),0)</f>
        <v>0</v>
      </c>
      <c r="J304" s="210">
        <f ca="1">IFERROR(__xludf.DUMMYFUNCTION("IMPORTRANGE(""https://docs.google.com/spreadsheets/d/1IYY_tgx_IHuhSq3AJ5eI5OnqOPBNLWSHKh2a30DoXe8/edit?usp=sharing"",""ระนอง!J209"")"),0)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IFERROR(__xludf.DUMMYFUNCTION("IMPORTRANGE(""https://docs.google.com/spreadsheets/d/1IYY_tgx_IHuhSq3AJ5eI5OnqOPBNLWSHKh2a30DoXe8/edit?usp=sharing"",""ระนอง!I211"")"),0)</f>
        <v>0</v>
      </c>
      <c r="J306" s="210">
        <f ca="1">IFERROR(__xludf.DUMMYFUNCTION("IMPORTRANGE(""https://docs.google.com/spreadsheets/d/1IYY_tgx_IHuhSq3AJ5eI5OnqOPBNLWSHKh2a30DoXe8/edit?usp=sharing"",""ระนอง!J211"")"),0)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IFERROR(__xludf.DUMMYFUNCTION("IMPORTRANGE(""https://docs.google.com/spreadsheets/d/1IYY_tgx_IHuhSq3AJ5eI5OnqOPBNLWSHKh2a30DoXe8/edit?usp=sharing"",""ระนอง!J212"")"),0)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IFERROR(__xludf.DUMMYFUNCTION("IMPORTRANGE(""https://docs.google.com/spreadsheets/d/1IYY_tgx_IHuhSq3AJ5eI5OnqOPBNLWSHKh2a30DoXe8/edit?usp=sharing"",""ระนอง!J213"")"),0)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IFERROR(__xludf.DUMMYFUNCTION("IMPORTRANGE(""https://docs.google.com/spreadsheets/d/1IYY_tgx_IHuhSq3AJ5eI5OnqOPBNLWSHKh2a30DoXe8/edit?usp=sharing"",""ระนอง!I214"")"),0)</f>
        <v>0</v>
      </c>
      <c r="J309" s="339">
        <f ca="1">IFERROR(__xludf.DUMMYFUNCTION("IMPORTRANGE(""https://docs.google.com/spreadsheets/d/1IYY_tgx_IHuhSq3AJ5eI5OnqOPBNLWSHKh2a30DoXe8/edit?usp=sharing"",""ระนอง!J214"")"),0)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IFERROR(__xludf.DUMMYFUNCTION("IMPORTRANGE(""https://docs.google.com/spreadsheets/d/1Yj_ptqi66GCucihVvJfMjLAmec39IyEx_6qawtMGysU/edit?usp=sharing"",""สบก!DC91"")"),0)</f>
        <v>0</v>
      </c>
      <c r="N314" s="174">
        <f ca="1">IFERROR(__xludf.DUMMYFUNCTION("IMPORTRANGE(""https://docs.google.com/spreadsheets/d/1Yj_ptqi66GCucihVvJfMjLAmec39IyEx_6qawtMGysU/edit?usp=sharing"",""สบก!DD91"")"),0)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IFERROR(__xludf.DUMMYFUNCTION("IMPORTRANGE(""https://docs.google.com/spreadsheets/d/1Yj_ptqi66GCucihVvJfMjLAmec39IyEx_6qawtMGysU/edit?usp=sharing"",""สบก!CY91"")"),0)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IFERROR(__xludf.DUMMYFUNCTION("IMPORTRANGE(""https://docs.google.com/spreadsheets/d/1Yj_ptqi66GCucihVvJfMjLAmec39IyEx_6qawtMGysU/edit?usp=sharing"",""สบก!CZ91"")"),0)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IFERROR(__xludf.DUMMYFUNCTION("IMPORTRANGE(""https://docs.google.com/spreadsheets/d/1Yj_ptqi66GCucihVvJfMjLAmec39IyEx_6qawtMGysU/edit?usp=sharing"",""สบก!DA91"")"),0)</f>
        <v>0</v>
      </c>
      <c r="M318" s="101"/>
      <c r="N318" s="91">
        <f ca="1">IFERROR(__xludf.DUMMYFUNCTION("IMPORTRANGE(""https://docs.google.com/spreadsheets/d/1Yj_ptqi66GCucihVvJfMjLAmec39IyEx_6qawtMGysU/edit?usp=sharing"",""สบก!DE91"")"),0)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IFERROR(__xludf.DUMMYFUNCTION("IMPORTRANGE(""https://docs.google.com/spreadsheets/d/1IYY_tgx_IHuhSq3AJ5eI5OnqOPBNLWSHKh2a30DoXe8/edit?usp=sharing"",""ระนอง!J220"")"),0)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IFERROR(__xludf.DUMMYFUNCTION("IMPORTRANGE(""https://docs.google.com/spreadsheets/d/1IYY_tgx_IHuhSq3AJ5eI5OnqOPBNLWSHKh2a30DoXe8/edit?usp=sharing"",""ระนอง!J221"")"),0)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IFERROR(__xludf.DUMMYFUNCTION("IMPORTRANGE(""https://docs.google.com/spreadsheets/d/1IYY_tgx_IHuhSq3AJ5eI5OnqOPBNLWSHKh2a30DoXe8/edit?usp=sharing"",""ระนอง!J222"")"),0)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IFERROR(__xludf.DUMMYFUNCTION("IMPORTRANGE(""https://docs.google.com/spreadsheets/d/1IYY_tgx_IHuhSq3AJ5eI5OnqOPBNLWSHKh2a30DoXe8/edit?usp=sharing"",""ระนอง!J223"")"),0)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IFERROR(__xludf.DUMMYFUNCTION("IMPORTRANGE(""https://docs.google.com/spreadsheets/d/1IYY_tgx_IHuhSq3AJ5eI5OnqOPBNLWSHKh2a30DoXe8/edit?usp=sharing"",""ระนอง!I224"")"),0)</f>
        <v>0</v>
      </c>
      <c r="J324" s="210">
        <f ca="1">IFERROR(__xludf.DUMMYFUNCTION("IMPORTRANGE(""https://docs.google.com/spreadsheets/d/1IYY_tgx_IHuhSq3AJ5eI5OnqOPBNLWSHKh2a30DoXe8/edit?usp=sharing"",""ระนอง!J224"")"),0)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IFERROR(__xludf.DUMMYFUNCTION("IMPORTRANGE(""https://docs.google.com/spreadsheets/d/1IYY_tgx_IHuhSq3AJ5eI5OnqOPBNLWSHKh2a30DoXe8/edit?usp=sharing"",""ระนอง!J225"")"),0)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IFERROR(__xludf.DUMMYFUNCTION("IMPORTRANGE(""https://docs.google.com/spreadsheets/d/1IYY_tgx_IHuhSq3AJ5eI5OnqOPBNLWSHKh2a30DoXe8/edit?usp=sharing"",""ระนอง!J226"")"),0)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IFERROR(__xludf.DUMMYFUNCTION("IMPORTRANGE(""https://docs.google.com/spreadsheets/d/1IYY_tgx_IHuhSq3AJ5eI5OnqOPBNLWSHKh2a30DoXe8/edit?usp=sharing"",""ระนอง!I228"")"),75)</f>
        <v>75</v>
      </c>
      <c r="J328" s="345">
        <f ca="1">IFERROR(__xludf.DUMMYFUNCTION("IMPORTRANGE(""https://docs.google.com/spreadsheets/d/1IYY_tgx_IHuhSq3AJ5eI5OnqOPBNLWSHKh2a30DoXe8/edit?usp=sharing"",""ระนอง!J228"")"),29)</f>
        <v>29</v>
      </c>
      <c r="K328" s="323">
        <f ca="1">IF(I328&gt;0,J328*100/I328,0)</f>
        <v>38.666666666666664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1029350</v>
      </c>
      <c r="M329" s="156">
        <f t="shared" ca="1" si="98"/>
        <v>762560</v>
      </c>
      <c r="N329" s="156">
        <f t="shared" ca="1" si="98"/>
        <v>515528.1</v>
      </c>
      <c r="O329" s="155">
        <f t="shared" ref="O329:O331" ca="1" si="99">IF(L329&gt;0,N329*100/L329,0)</f>
        <v>50.082877544081214</v>
      </c>
      <c r="P329" s="155">
        <f t="shared" ref="P329:P331" ca="1" si="100">IF(M329&gt;0,N329*100/M329,0)</f>
        <v>67.604922891313464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1029350</v>
      </c>
      <c r="M331" s="161">
        <f t="shared" ca="1" si="102"/>
        <v>762560</v>
      </c>
      <c r="N331" s="161">
        <f t="shared" ca="1" si="102"/>
        <v>515528.1</v>
      </c>
      <c r="O331" s="160">
        <f t="shared" ca="1" si="99"/>
        <v>50.082877544081214</v>
      </c>
      <c r="P331" s="160">
        <f t="shared" ca="1" si="100"/>
        <v>67.604922891313464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1029350</v>
      </c>
      <c r="M333" s="173">
        <f ca="1">IFERROR(__xludf.DUMMYFUNCTION("IMPORTRANGE(""https://docs.google.com/spreadsheets/d/1Yj_ptqi66GCucihVvJfMjLAmec39IyEx_6qawtMGysU/edit?usp=sharing"",""สบก!DL91"")"),762560)</f>
        <v>762560</v>
      </c>
      <c r="N333" s="174">
        <f ca="1">IFERROR(__xludf.DUMMYFUNCTION("IMPORTRANGE(""https://docs.google.com/spreadsheets/d/1Yj_ptqi66GCucihVvJfMjLAmec39IyEx_6qawtMGysU/edit?usp=sharing"",""สบก!DM91"")"),515528.1)</f>
        <v>515528.1</v>
      </c>
      <c r="O333" s="175">
        <f ca="1">IF(L333&gt;0,N333*100/L333,0)</f>
        <v>50.082877544081214</v>
      </c>
      <c r="P333" s="175">
        <f ca="1">IF(M333&gt;0,N333*100/M333,0)</f>
        <v>67.604922891313464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IFERROR(__xludf.DUMMYFUNCTION("IMPORTRANGE(""https://docs.google.com/spreadsheets/d/1Yj_ptqi66GCucihVvJfMjLAmec39IyEx_6qawtMGysU/edit?usp=sharing"",""สบก!DH91"")"),777000)</f>
        <v>777000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IFERROR(__xludf.DUMMYFUNCTION("IMPORTRANGE(""https://docs.google.com/spreadsheets/d/1Yj_ptqi66GCucihVvJfMjLAmec39IyEx_6qawtMGysU/edit?usp=sharing"",""สบก!DI91"")"),252350)</f>
        <v>252350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IFERROR(__xludf.DUMMYFUNCTION("IMPORTRANGE(""https://docs.google.com/spreadsheets/d/1Yj_ptqi66GCucihVvJfMjLAmec39IyEx_6qawtMGysU/edit?usp=sharing"",""สบก!DJ91"")"),0)</f>
        <v>0</v>
      </c>
      <c r="M337" s="101"/>
      <c r="N337" s="91">
        <f ca="1">IFERROR(__xludf.DUMMYFUNCTION("IMPORTRANGE(""https://docs.google.com/spreadsheets/d/1Yj_ptqi66GCucihVvJfMjLAmec39IyEx_6qawtMGysU/edit?usp=sharing"",""สบก!DN91"")"),0)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IFERROR(__xludf.DUMMYFUNCTION("IMPORTRANGE(""https://docs.google.com/spreadsheets/d/1IYY_tgx_IHuhSq3AJ5eI5OnqOPBNLWSHKh2a30DoXe8/edit?usp=sharing"",""ระนอง!I234"")"),0)</f>
        <v>0</v>
      </c>
      <c r="J339" s="194">
        <f ca="1">IFERROR(__xludf.DUMMYFUNCTION("IMPORTRANGE(""https://docs.google.com/spreadsheets/d/1IYY_tgx_IHuhSq3AJ5eI5OnqOPBNLWSHKh2a30DoXe8/edit?usp=sharing"",""ระนอง!J234"")"),47)</f>
        <v>47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IFERROR(__xludf.DUMMYFUNCTION("IMPORTRANGE(""https://docs.google.com/spreadsheets/d/1IYY_tgx_IHuhSq3AJ5eI5OnqOPBNLWSHKh2a30DoXe8/edit?usp=sharing"",""ระนอง!I235"")"),540)</f>
        <v>540</v>
      </c>
      <c r="J340" s="194">
        <f ca="1">IFERROR(__xludf.DUMMYFUNCTION("IMPORTRANGE(""https://docs.google.com/spreadsheets/d/1IYY_tgx_IHuhSq3AJ5eI5OnqOPBNLWSHKh2a30DoXe8/edit?usp=sharing"",""ระนอง!J235"")"),440.95)</f>
        <v>440.95</v>
      </c>
      <c r="K340" s="348">
        <f t="shared" ca="1" si="103"/>
        <v>81.657407407407405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IFERROR(__xludf.DUMMYFUNCTION("IMPORTRANGE(""https://docs.google.com/spreadsheets/d/1IYY_tgx_IHuhSq3AJ5eI5OnqOPBNLWSHKh2a30DoXe8/edit?usp=sharing"",""ระนอง!I236"")"),75)</f>
        <v>75</v>
      </c>
      <c r="J341" s="194">
        <f ca="1">IFERROR(__xludf.DUMMYFUNCTION("IMPORTRANGE(""https://docs.google.com/spreadsheets/d/1IYY_tgx_IHuhSq3AJ5eI5OnqOPBNLWSHKh2a30DoXe8/edit?usp=sharing"",""ระนอง!J236"")"),52)</f>
        <v>52</v>
      </c>
      <c r="K341" s="348">
        <f t="shared" ca="1" si="103"/>
        <v>69.333333333333329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IFERROR(__xludf.DUMMYFUNCTION("IMPORTRANGE(""https://docs.google.com/spreadsheets/d/1IYY_tgx_IHuhSq3AJ5eI5OnqOPBNLWSHKh2a30DoXe8/edit?usp=sharing"",""ระนอง!I237"")"),0)</f>
        <v>0</v>
      </c>
      <c r="J342" s="194">
        <f ca="1">IFERROR(__xludf.DUMMYFUNCTION("IMPORTRANGE(""https://docs.google.com/spreadsheets/d/1IYY_tgx_IHuhSq3AJ5eI5OnqOPBNLWSHKh2a30DoXe8/edit?usp=sharing"",""ระนอง!J237"")"),524.77)</f>
        <v>524.77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IFERROR(__xludf.DUMMYFUNCTION("IMPORTRANGE(""https://docs.google.com/spreadsheets/d/1IYY_tgx_IHuhSq3AJ5eI5OnqOPBNLWSHKh2a30DoXe8/edit?usp=sharing"",""ระนอง!I238"")"),75)</f>
        <v>75</v>
      </c>
      <c r="J343" s="194">
        <f ca="1">IFERROR(__xludf.DUMMYFUNCTION("IMPORTRANGE(""https://docs.google.com/spreadsheets/d/1IYY_tgx_IHuhSq3AJ5eI5OnqOPBNLWSHKh2a30DoXe8/edit?usp=sharing"",""ระนอง!J238"")"),0)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IFERROR(__xludf.DUMMYFUNCTION("IMPORTRANGE(""https://docs.google.com/spreadsheets/d/1IYY_tgx_IHuhSq3AJ5eI5OnqOPBNLWSHKh2a30DoXe8/edit?usp=sharing"",""ระนอง!I239"")"),0)</f>
        <v>0</v>
      </c>
      <c r="J344" s="194">
        <f ca="1">IFERROR(__xludf.DUMMYFUNCTION("IMPORTRANGE(""https://docs.google.com/spreadsheets/d/1IYY_tgx_IHuhSq3AJ5eI5OnqOPBNLWSHKh2a30DoXe8/edit?usp=sharing"",""ระนอง!J239"")"),0)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IFERROR(__xludf.DUMMYFUNCTION("IMPORTRANGE(""https://docs.google.com/spreadsheets/d/1IYY_tgx_IHuhSq3AJ5eI5OnqOPBNLWSHKh2a30DoXe8/edit?usp=sharing"",""ระนอง!I240"")"),75)</f>
        <v>75</v>
      </c>
      <c r="J345" s="194">
        <f ca="1">IFERROR(__xludf.DUMMYFUNCTION("IMPORTRANGE(""https://docs.google.com/spreadsheets/d/1IYY_tgx_IHuhSq3AJ5eI5OnqOPBNLWSHKh2a30DoXe8/edit?usp=sharing"",""ระนอง!J240"")"),29)</f>
        <v>29</v>
      </c>
      <c r="K345" s="348">
        <f t="shared" ca="1" si="103"/>
        <v>38.666666666666664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IFERROR(__xludf.DUMMYFUNCTION("IMPORTRANGE(""https://docs.google.com/spreadsheets/d/1IYY_tgx_IHuhSq3AJ5eI5OnqOPBNLWSHKh2a30DoXe8/edit?usp=sharing"",""ระนอง!I241"")"),0)</f>
        <v>0</v>
      </c>
      <c r="J346" s="194">
        <f ca="1">IFERROR(__xludf.DUMMYFUNCTION("IMPORTRANGE(""https://docs.google.com/spreadsheets/d/1IYY_tgx_IHuhSq3AJ5eI5OnqOPBNLWSHKh2a30DoXe8/edit?usp=sharing"",""ระนอง!J241"")"),255.87)</f>
        <v>255.87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IFERROR(__xludf.DUMMYFUNCTION("IMPORTRANGE(""https://docs.google.com/spreadsheets/d/1IYY_tgx_IHuhSq3AJ5eI5OnqOPBNLWSHKh2a30DoXe8/edit?usp=sharing"",""ระนอง!L242"")"),1568126.59)</f>
        <v>1568126.59</v>
      </c>
      <c r="M347" s="364"/>
      <c r="N347" s="364">
        <f ca="1">IFERROR(__xludf.DUMMYFUNCTION("IMPORTRANGE(""https://docs.google.com/spreadsheets/d/1IYY_tgx_IHuhSq3AJ5eI5OnqOPBNLWSHKh2a30DoXe8/edit?usp=sharing"",""ระนอง!M242"")"),542787)</f>
        <v>542787</v>
      </c>
      <c r="O347" s="364">
        <f ca="1">+IF(L347&gt;0,N347*100/L347,0)</f>
        <v>34.61372337293254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IFERROR(__xludf.DUMMYFUNCTION("IMPORTRANGE(""https://docs.google.com/spreadsheets/d/1IYY_tgx_IHuhSq3AJ5eI5OnqOPBNLWSHKh2a30DoXe8/edit?usp=sharing"",""ระนอง!I244"")"),20)</f>
        <v>20</v>
      </c>
      <c r="J349" s="377">
        <f ca="1">IFERROR(__xludf.DUMMYFUNCTION("IMPORTRANGE(""https://docs.google.com/spreadsheets/d/1IYY_tgx_IHuhSq3AJ5eI5OnqOPBNLWSHKh2a30DoXe8/edit?usp=sharing"",""ระนอง!J244"")"),20)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IFERROR(__xludf.DUMMYFUNCTION("IMPORTRANGE(""https://docs.google.com/spreadsheets/d/1IYY_tgx_IHuhSq3AJ5eI5OnqOPBNLWSHKh2a30DoXe8/edit?usp=sharing"",""ระนอง!L244"")"),65120)</f>
        <v>65120</v>
      </c>
      <c r="M349" s="379"/>
      <c r="N349" s="379">
        <f ca="1">IFERROR(__xludf.DUMMYFUNCTION("IMPORTRANGE(""https://docs.google.com/spreadsheets/d/1IYY_tgx_IHuhSq3AJ5eI5OnqOPBNLWSHKh2a30DoXe8/edit?usp=sharing"",""ระนอง!M244"")"),56330)</f>
        <v>56330</v>
      </c>
      <c r="O349" s="379">
        <f ca="1">+IF(L349&gt;0,N349*100/L349,0)</f>
        <v>86.501842751842759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IFERROR(__xludf.DUMMYFUNCTION("IMPORTRANGE(""https://docs.google.com/spreadsheets/d/1IYY_tgx_IHuhSq3AJ5eI5OnqOPBNLWSHKh2a30DoXe8/edit?usp=sharing"",""ระนอง!I245"")"),20)</f>
        <v>20</v>
      </c>
      <c r="J350" s="377">
        <f ca="1">IFERROR(__xludf.DUMMYFUNCTION("IMPORTRANGE(""https://docs.google.com/spreadsheets/d/1IYY_tgx_IHuhSq3AJ5eI5OnqOPBNLWSHKh2a30DoXe8/edit?usp=sharing"",""ระนอง!J245"")"),20)</f>
        <v>20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IFERROR(__xludf.DUMMYFUNCTION("IMPORTRANGE(""https://docs.google.com/spreadsheets/d/1IYY_tgx_IHuhSq3AJ5eI5OnqOPBNLWSHKh2a30DoXe8/edit?usp=sharing"",""ระนอง!L246"")"),0)</f>
        <v>0</v>
      </c>
      <c r="M351" s="168"/>
      <c r="N351" s="168">
        <f ca="1">IFERROR(__xludf.DUMMYFUNCTION("IMPORTRANGE(""https://docs.google.com/spreadsheets/d/1IYY_tgx_IHuhSq3AJ5eI5OnqOPBNLWSHKh2a30DoXe8/edit?usp=sharing"",""ระนอง!M246"")"),0)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IFERROR(__xludf.DUMMYFUNCTION("IMPORTRANGE(""https://docs.google.com/spreadsheets/d/1IYY_tgx_IHuhSq3AJ5eI5OnqOPBNLWSHKh2a30DoXe8/edit?usp=sharing"",""ระนอง!L247"")"),65120)</f>
        <v>65120</v>
      </c>
      <c r="M352" s="169"/>
      <c r="N352" s="168">
        <f ca="1">IFERROR(__xludf.DUMMYFUNCTION("IMPORTRANGE(""https://docs.google.com/spreadsheets/d/1IYY_tgx_IHuhSq3AJ5eI5OnqOPBNLWSHKh2a30DoXe8/edit?usp=sharing"",""ระนอง!M247"")"),56330)</f>
        <v>56330</v>
      </c>
      <c r="O352" s="169">
        <f t="shared" ca="1" si="105"/>
        <v>86.501842751842759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IFERROR(__xludf.DUMMYFUNCTION("IMPORTRANGE(""https://docs.google.com/spreadsheets/d/1IYY_tgx_IHuhSq3AJ5eI5OnqOPBNLWSHKh2a30DoXe8/edit?usp=sharing"",""ระนอง!L248"")"),0)</f>
        <v>0</v>
      </c>
      <c r="M353" s="175"/>
      <c r="N353" s="175">
        <f ca="1">IFERROR(__xludf.DUMMYFUNCTION("IMPORTRANGE(""https://docs.google.com/spreadsheets/d/1IYY_tgx_IHuhSq3AJ5eI5OnqOPBNLWSHKh2a30DoXe8/edit?usp=sharing"",""ระนอง!M248"")"),0)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IFERROR(__xludf.DUMMYFUNCTION("IMPORTRANGE(""https://docs.google.com/spreadsheets/d/1IYY_tgx_IHuhSq3AJ5eI5OnqOPBNLWSHKh2a30DoXe8/edit?usp=sharing"",""ระนอง!L249"")"),65120)</f>
        <v>65120</v>
      </c>
      <c r="M354" s="175"/>
      <c r="N354" s="172">
        <f ca="1">IFERROR(__xludf.DUMMYFUNCTION("IMPORTRANGE(""https://docs.google.com/spreadsheets/d/1IYY_tgx_IHuhSq3AJ5eI5OnqOPBNLWSHKh2a30DoXe8/edit?usp=sharing"",""ระนอง!M249"")"),56330)</f>
        <v>56330</v>
      </c>
      <c r="O354" s="175">
        <f t="shared" ca="1" si="105"/>
        <v>86.501842751842759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IFERROR(__xludf.DUMMYFUNCTION("IMPORTRANGE(""https://docs.google.com/spreadsheets/d/1IYY_tgx_IHuhSq3AJ5eI5OnqOPBNLWSHKh2a30DoXe8/edit?usp=sharing"",""ระนอง!M250"")"),26600)</f>
        <v>26600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IFERROR(__xludf.DUMMYFUNCTION("IMPORTRANGE(""https://docs.google.com/spreadsheets/d/1IYY_tgx_IHuhSq3AJ5eI5OnqOPBNLWSHKh2a30DoXe8/edit?usp=sharing"",""ระนอง!M251"")"),20100)</f>
        <v>20100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IFERROR(__xludf.DUMMYFUNCTION("IMPORTRANGE(""https://docs.google.com/spreadsheets/d/1IYY_tgx_IHuhSq3AJ5eI5OnqOPBNLWSHKh2a30DoXe8/edit?usp=sharing"",""ระนอง!M252"")"),0)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IFERROR(__xludf.DUMMYFUNCTION("IMPORTRANGE(""https://docs.google.com/spreadsheets/d/1IYY_tgx_IHuhSq3AJ5eI5OnqOPBNLWSHKh2a30DoXe8/edit?usp=sharing"",""ระนอง!M253"")"),9630)</f>
        <v>9630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IFERROR(__xludf.DUMMYFUNCTION("IMPORTRANGE(""https://docs.google.com/spreadsheets/d/1IYY_tgx_IHuhSq3AJ5eI5OnqOPBNLWSHKh2a30DoXe8/edit?usp=sharing"",""ระนอง!J255"")"),0)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IFERROR(__xludf.DUMMYFUNCTION("IMPORTRANGE(""https://docs.google.com/spreadsheets/d/1IYY_tgx_IHuhSq3AJ5eI5OnqOPBNLWSHKh2a30DoXe8/edit?usp=sharing"",""ระนอง!J256"")"),1)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IFERROR(__xludf.DUMMYFUNCTION("IMPORTRANGE(""https://docs.google.com/spreadsheets/d/1IYY_tgx_IHuhSq3AJ5eI5OnqOPBNLWSHKh2a30DoXe8/edit?usp=sharing"",""ระนอง!J257"")"),1)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IFERROR(__xludf.DUMMYFUNCTION("IMPORTRANGE(""https://docs.google.com/spreadsheets/d/1IYY_tgx_IHuhSq3AJ5eI5OnqOPBNLWSHKh2a30DoXe8/edit?usp=sharing"",""ระนอง!J258"")"),1)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IFERROR(__xludf.DUMMYFUNCTION("IMPORTRANGE(""https://docs.google.com/spreadsheets/d/1IYY_tgx_IHuhSq3AJ5eI5OnqOPBNLWSHKh2a30DoXe8/edit?usp=sharing"",""ระนอง!J166"")"),0)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IFERROR(__xludf.DUMMYFUNCTION("IMPORTRANGE(""https://docs.google.com/spreadsheets/d/1IYY_tgx_IHuhSq3AJ5eI5OnqOPBNLWSHKh2a30DoXe8/edit?usp=sharing"",""ระนอง!J166"")"),0)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IFERROR(__xludf.DUMMYFUNCTION("IMPORTRANGE(""https://docs.google.com/spreadsheets/d/1IYY_tgx_IHuhSq3AJ5eI5OnqOPBNLWSHKh2a30DoXe8/edit?usp=sharing"",""ระนอง!J166"")"),0)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IFERROR(__xludf.DUMMYFUNCTION("IMPORTRANGE(""https://docs.google.com/spreadsheets/d/1IYY_tgx_IHuhSq3AJ5eI5OnqOPBNLWSHKh2a30DoXe8/edit?usp=sharing"",""ระนอง!J166"")"),0)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IFERROR(__xludf.DUMMYFUNCTION("IMPORTRANGE(""https://docs.google.com/spreadsheets/d/1IYY_tgx_IHuhSq3AJ5eI5OnqOPBNLWSHKh2a30DoXe8/edit?usp=sharing"",""ระนอง!I263"")"),20)</f>
        <v>20</v>
      </c>
      <c r="J368" s="194">
        <f ca="1">IFERROR(__xludf.DUMMYFUNCTION("IMPORTRANGE(""https://docs.google.com/spreadsheets/d/1IYY_tgx_IHuhSq3AJ5eI5OnqOPBNLWSHKh2a30DoXe8/edit?usp=sharing"",""ระนอง!J263"")"),20)</f>
        <v>20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IFERROR(__xludf.DUMMYFUNCTION("IMPORTRANGE(""https://docs.google.com/spreadsheets/d/1IYY_tgx_IHuhSq3AJ5eI5OnqOPBNLWSHKh2a30DoXe8/edit?usp=sharing"",""ระนอง!I164"")"),0)</f>
        <v>0</v>
      </c>
      <c r="J369" s="210">
        <f ca="1">IFERROR(__xludf.DUMMYFUNCTION("IMPORTRANGE(""https://docs.google.com/spreadsheets/d/1IYY_tgx_IHuhSq3AJ5eI5OnqOPBNLWSHKh2a30DoXe8/edit?usp=sharing"",""ระนอง!J164"")"),0)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IFERROR(__xludf.DUMMYFUNCTION("IMPORTRANGE(""https://docs.google.com/spreadsheets/d/1IYY_tgx_IHuhSq3AJ5eI5OnqOPBNLWSHKh2a30DoXe8/edit?usp=sharing"",""ระนอง!I265"")"),20)</f>
        <v>20</v>
      </c>
      <c r="J370" s="210">
        <f ca="1">IFERROR(__xludf.DUMMYFUNCTION("IMPORTRANGE(""https://docs.google.com/spreadsheets/d/1IYY_tgx_IHuhSq3AJ5eI5OnqOPBNLWSHKh2a30DoXe8/edit?usp=sharing"",""ระนอง!J265"")"),20)</f>
        <v>20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IFERROR(__xludf.DUMMYFUNCTION("IMPORTRANGE(""https://docs.google.com/spreadsheets/d/1IYY_tgx_IHuhSq3AJ5eI5OnqOPBNLWSHKh2a30DoXe8/edit?usp=sharing"",""ระนอง!I164"")"),0)</f>
        <v>0</v>
      </c>
      <c r="J371" s="195">
        <f ca="1">IFERROR(__xludf.DUMMYFUNCTION("IMPORTRANGE(""https://docs.google.com/spreadsheets/d/1IYY_tgx_IHuhSq3AJ5eI5OnqOPBNLWSHKh2a30DoXe8/edit?usp=sharing"",""ระนอง!J164"")"),0)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IFERROR(__xludf.DUMMYFUNCTION("IMPORTRANGE(""https://docs.google.com/spreadsheets/d/1IYY_tgx_IHuhSq3AJ5eI5OnqOPBNLWSHKh2a30DoXe8/edit?usp=sharing"",""ระนอง!I267"")"),20)</f>
        <v>20</v>
      </c>
      <c r="J372" s="195">
        <f ca="1">IFERROR(__xludf.DUMMYFUNCTION("IMPORTRANGE(""https://docs.google.com/spreadsheets/d/1IYY_tgx_IHuhSq3AJ5eI5OnqOPBNLWSHKh2a30DoXe8/edit?usp=sharing"",""ระนอง!J267"")"),20)</f>
        <v>20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IFERROR(__xludf.DUMMYFUNCTION("IMPORTRANGE(""https://docs.google.com/spreadsheets/d/1IYY_tgx_IHuhSq3AJ5eI5OnqOPBNLWSHKh2a30DoXe8/edit?usp=sharing"",""ระนอง!I164"")"),0)</f>
        <v>0</v>
      </c>
      <c r="J373" s="210">
        <f ca="1">IFERROR(__xludf.DUMMYFUNCTION("IMPORTRANGE(""https://docs.google.com/spreadsheets/d/1IYY_tgx_IHuhSq3AJ5eI5OnqOPBNLWSHKh2a30DoXe8/edit?usp=sharing"",""ระนอง!J164"")"),0)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IFERROR(__xludf.DUMMYFUNCTION("IMPORTRANGE(""https://docs.google.com/spreadsheets/d/1IYY_tgx_IHuhSq3AJ5eI5OnqOPBNLWSHKh2a30DoXe8/edit?usp=sharing"",""ระนอง!I164"")"),0)</f>
        <v>0</v>
      </c>
      <c r="J374" s="194">
        <f ca="1">IFERROR(__xludf.DUMMYFUNCTION("IMPORTRANGE(""https://docs.google.com/spreadsheets/d/1IYY_tgx_IHuhSq3AJ5eI5OnqOPBNLWSHKh2a30DoXe8/edit?usp=sharing"",""ระนอง!J164"")"),0)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IFERROR(__xludf.DUMMYFUNCTION("IMPORTRANGE(""https://docs.google.com/spreadsheets/d/1IYY_tgx_IHuhSq3AJ5eI5OnqOPBNLWSHKh2a30DoXe8/edit?usp=sharing"",""ระนอง!I270"")"),20)</f>
        <v>20</v>
      </c>
      <c r="J375" s="194">
        <f ca="1">IFERROR(__xludf.DUMMYFUNCTION("IMPORTRANGE(""https://docs.google.com/spreadsheets/d/1IYY_tgx_IHuhSq3AJ5eI5OnqOPBNLWSHKh2a30DoXe8/edit?usp=sharing"",""ระนอง!J270"")"),20)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IFERROR(__xludf.DUMMYFUNCTION("IMPORTRANGE(""https://docs.google.com/spreadsheets/d/1IYY_tgx_IHuhSq3AJ5eI5OnqOPBNLWSHKh2a30DoXe8/edit?usp=sharing"",""ระนอง!I271"")"),0)</f>
        <v>0</v>
      </c>
      <c r="J376" s="195">
        <f ca="1">IFERROR(__xludf.DUMMYFUNCTION("IMPORTRANGE(""https://docs.google.com/spreadsheets/d/1IYY_tgx_IHuhSq3AJ5eI5OnqOPBNLWSHKh2a30DoXe8/edit?usp=sharing"",""ระนอง!J271"")"),0)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IFERROR(__xludf.DUMMYFUNCTION("IMPORTRANGE(""https://docs.google.com/spreadsheets/d/1IYY_tgx_IHuhSq3AJ5eI5OnqOPBNLWSHKh2a30DoXe8/edit?usp=sharing"",""ระนอง!I272"")"),20)</f>
        <v>20</v>
      </c>
      <c r="J377" s="210">
        <f ca="1">IFERROR(__xludf.DUMMYFUNCTION("IMPORTRANGE(""https://docs.google.com/spreadsheets/d/1IYY_tgx_IHuhSq3AJ5eI5OnqOPBNLWSHKh2a30DoXe8/edit?usp=sharing"",""ระนอง!J272"")"),20)</f>
        <v>20</v>
      </c>
      <c r="K377" s="167">
        <f t="shared" ca="1" si="107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IFERROR(__xludf.DUMMYFUNCTION("IMPORTRANGE(""https://docs.google.com/spreadsheets/d/1IYY_tgx_IHuhSq3AJ5eI5OnqOPBNLWSHKh2a30DoXe8/edit?usp=sharing"",""ระนอง!J273"")"),0)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IFERROR(__xludf.DUMMYFUNCTION("IMPORTRANGE(""https://docs.google.com/spreadsheets/d/1IYY_tgx_IHuhSq3AJ5eI5OnqOPBNLWSHKh2a30DoXe8/edit?usp=sharing"",""ระนอง!J274"")"),0)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IFERROR(__xludf.DUMMYFUNCTION("IMPORTRANGE(""https://docs.google.com/spreadsheets/d/1IYY_tgx_IHuhSq3AJ5eI5OnqOPBNLWSHKh2a30DoXe8/edit?usp=sharing"",""ระนอง!I275"")"),1000)</f>
        <v>1000</v>
      </c>
      <c r="J380" s="377">
        <f ca="1">IFERROR(__xludf.DUMMYFUNCTION("IMPORTRANGE(""https://docs.google.com/spreadsheets/d/1IYY_tgx_IHuhSq3AJ5eI5OnqOPBNLWSHKh2a30DoXe8/edit?usp=sharing"",""ระนอง!J275"")"),1000)</f>
        <v>1000</v>
      </c>
      <c r="K380" s="378">
        <f t="shared" ref="K380:K381" ca="1" si="108">IF(I380&gt;0,J380*100/I380,0)</f>
        <v>100</v>
      </c>
      <c r="L380" s="379">
        <f ca="1">IFERROR(__xludf.DUMMYFUNCTION("IMPORTRANGE(""https://docs.google.com/spreadsheets/d/1IYY_tgx_IHuhSq3AJ5eI5OnqOPBNLWSHKh2a30DoXe8/edit?usp=sharing"",""ระนอง!L275"")"),1028520)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IFERROR(__xludf.DUMMYFUNCTION("IMPORTRANGE(""https://docs.google.com/spreadsheets/d/1IYY_tgx_IHuhSq3AJ5eI5OnqOPBNLWSHKh2a30DoXe8/edit?usp=sharing"",""ระนอง!M275"")"),236785)</f>
        <v>236785</v>
      </c>
      <c r="O380" s="379">
        <f ca="1">+IF(L380&gt;0,N380*100/L380,0)</f>
        <v>23.021914984638119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IFERROR(__xludf.DUMMYFUNCTION("IMPORTRANGE(""https://docs.google.com/spreadsheets/d/1IYY_tgx_IHuhSq3AJ5eI5OnqOPBNLWSHKh2a30DoXe8/edit?usp=sharing"",""ระนอง!I276"")"),100)</f>
        <v>100</v>
      </c>
      <c r="J381" s="377">
        <f ca="1">IFERROR(__xludf.DUMMYFUNCTION("IMPORTRANGE(""https://docs.google.com/spreadsheets/d/1IYY_tgx_IHuhSq3AJ5eI5OnqOPBNLWSHKh2a30DoXe8/edit?usp=sharing"",""ระนอง!J276"")"),100)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IFERROR(__xludf.DUMMYFUNCTION("IMPORTRANGE(""https://docs.google.com/spreadsheets/d/1IYY_tgx_IHuhSq3AJ5eI5OnqOPBNLWSHKh2a30DoXe8/edit?usp=sharing"",""ระนอง!L277"")"),0)</f>
        <v>0</v>
      </c>
      <c r="M382" s="168"/>
      <c r="N382" s="168">
        <f ca="1">IFERROR(__xludf.DUMMYFUNCTION("IMPORTRANGE(""https://docs.google.com/spreadsheets/d/1IYY_tgx_IHuhSq3AJ5eI5OnqOPBNLWSHKh2a30DoXe8/edit?usp=sharing"",""ระนอง!M277"")"),0)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IFERROR(__xludf.DUMMYFUNCTION("IMPORTRANGE(""https://docs.google.com/spreadsheets/d/1IYY_tgx_IHuhSq3AJ5eI5OnqOPBNLWSHKh2a30DoXe8/edit?usp=sharing"",""ระนอง!L278"")"),1028520)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IFERROR(__xludf.DUMMYFUNCTION("IMPORTRANGE(""https://docs.google.com/spreadsheets/d/1IYY_tgx_IHuhSq3AJ5eI5OnqOPBNLWSHKh2a30DoXe8/edit?usp=sharing"",""ระนอง!M278"")"),236785)</f>
        <v>236785</v>
      </c>
      <c r="O383" s="169">
        <f t="shared" ca="1" si="109"/>
        <v>23.021914984638119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IFERROR(__xludf.DUMMYFUNCTION("IMPORTRANGE(""https://docs.google.com/spreadsheets/d/1IYY_tgx_IHuhSq3AJ5eI5OnqOPBNLWSHKh2a30DoXe8/edit?usp=sharing"",""ระนอง!L279"")"),0)</f>
        <v>0</v>
      </c>
      <c r="M384" s="175"/>
      <c r="N384" s="175">
        <f ca="1">IFERROR(__xludf.DUMMYFUNCTION("IMPORTRANGE(""https://docs.google.com/spreadsheets/d/1IYY_tgx_IHuhSq3AJ5eI5OnqOPBNLWSHKh2a30DoXe8/edit?usp=sharing"",""ระนอง!M279"")"),0)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IFERROR(__xludf.DUMMYFUNCTION("IMPORTRANGE(""https://docs.google.com/spreadsheets/d/1IYY_tgx_IHuhSq3AJ5eI5OnqOPBNLWSHKh2a30DoXe8/edit?usp=sharing"",""ระนอง!L280"")"),1028520)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IFERROR(__xludf.DUMMYFUNCTION("IMPORTRANGE(""https://docs.google.com/spreadsheets/d/1IYY_tgx_IHuhSq3AJ5eI5OnqOPBNLWSHKh2a30DoXe8/edit?usp=sharing"",""ระนอง!M280"")"),236785)</f>
        <v>236785</v>
      </c>
      <c r="O385" s="175">
        <f t="shared" ca="1" si="109"/>
        <v>23.021914984638119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IFERROR(__xludf.DUMMYFUNCTION("IMPORTRANGE(""https://docs.google.com/spreadsheets/d/1IYY_tgx_IHuhSq3AJ5eI5OnqOPBNLWSHKh2a30DoXe8/edit?usp=sharing"",""ระนอง!M281"")"),158280)</f>
        <v>158280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IFERROR(__xludf.DUMMYFUNCTION("IMPORTRANGE(""https://docs.google.com/spreadsheets/d/1IYY_tgx_IHuhSq3AJ5eI5OnqOPBNLWSHKh2a30DoXe8/edit?usp=sharing"",""ระนอง!M282"")"),0)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IFERROR(__xludf.DUMMYFUNCTION("IMPORTRANGE(""https://docs.google.com/spreadsheets/d/1IYY_tgx_IHuhSq3AJ5eI5OnqOPBNLWSHKh2a30DoXe8/edit?usp=sharing"",""ระนอง!M283"")"),53900)</f>
        <v>53900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IFERROR(__xludf.DUMMYFUNCTION("IMPORTRANGE(""https://docs.google.com/spreadsheets/d/1IYY_tgx_IHuhSq3AJ5eI5OnqOPBNLWSHKh2a30DoXe8/edit?usp=sharing"",""ระนอง!M284"")"),24605)</f>
        <v>24605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IFERROR(__xludf.DUMMYFUNCTION("IMPORTRANGE(""https://docs.google.com/spreadsheets/d/1IYY_tgx_IHuhSq3AJ5eI5OnqOPBNLWSHKh2a30DoXe8/edit?usp=sharing"",""ระนอง!J286"")"),0)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IFERROR(__xludf.DUMMYFUNCTION("IMPORTRANGE(""https://docs.google.com/spreadsheets/d/1IYY_tgx_IHuhSq3AJ5eI5OnqOPBNLWSHKh2a30DoXe8/edit?usp=sharing"",""ระนอง!J287"")"),1)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IFERROR(__xludf.DUMMYFUNCTION("IMPORTRANGE(""https://docs.google.com/spreadsheets/d/1IYY_tgx_IHuhSq3AJ5eI5OnqOPBNLWSHKh2a30DoXe8/edit?usp=sharing"",""ระนอง!J288"")"),1)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IFERROR(__xludf.DUMMYFUNCTION("IMPORTRANGE(""https://docs.google.com/spreadsheets/d/1IYY_tgx_IHuhSq3AJ5eI5OnqOPBNLWSHKh2a30DoXe8/edit?usp=sharing"",""ระนอง!J289"")"),1)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IFERROR(__xludf.DUMMYFUNCTION("IMPORTRANGE(""https://docs.google.com/spreadsheets/d/1IYY_tgx_IHuhSq3AJ5eI5OnqOPBNLWSHKh2a30DoXe8/edit?usp=sharing"",""ระนอง!I291"")"),100)</f>
        <v>100</v>
      </c>
      <c r="J396" s="204">
        <f ca="1">IFERROR(__xludf.DUMMYFUNCTION("IMPORTRANGE(""https://docs.google.com/spreadsheets/d/1IYY_tgx_IHuhSq3AJ5eI5OnqOPBNLWSHKh2a30DoXe8/edit?usp=sharing"",""ระนอง!J291"")"),100)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IFERROR(__xludf.DUMMYFUNCTION("IMPORTRANGE(""https://docs.google.com/spreadsheets/d/1IYY_tgx_IHuhSq3AJ5eI5OnqOPBNLWSHKh2a30DoXe8/edit?usp=sharing"",""ระนอง!I292"")"),1000)</f>
        <v>1000</v>
      </c>
      <c r="J397" s="204">
        <f ca="1">IFERROR(__xludf.DUMMYFUNCTION("IMPORTRANGE(""https://docs.google.com/spreadsheets/d/1IYY_tgx_IHuhSq3AJ5eI5OnqOPBNLWSHKh2a30DoXe8/edit?usp=sharing"",""ระนอง!J292"")"),1000)</f>
        <v>1000</v>
      </c>
      <c r="K397" s="167">
        <f t="shared" ca="1" si="110"/>
        <v>100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IFERROR(__xludf.DUMMYFUNCTION("IMPORTRANGE(""https://docs.google.com/spreadsheets/d/1IYY_tgx_IHuhSq3AJ5eI5OnqOPBNLWSHKh2a30DoXe8/edit?usp=sharing"",""ระนอง!I293"")"),100)</f>
        <v>100</v>
      </c>
      <c r="J398" s="204">
        <f ca="1">IFERROR(__xludf.DUMMYFUNCTION("IMPORTRANGE(""https://docs.google.com/spreadsheets/d/1IYY_tgx_IHuhSq3AJ5eI5OnqOPBNLWSHKh2a30DoXe8/edit?usp=sharing"",""ระนอง!J293"")"),100)</f>
        <v>100</v>
      </c>
      <c r="K398" s="167">
        <f t="shared" ca="1" si="110"/>
        <v>100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IFERROR(__xludf.DUMMYFUNCTION("IMPORTRANGE(""https://docs.google.com/spreadsheets/d/1IYY_tgx_IHuhSq3AJ5eI5OnqOPBNLWSHKh2a30DoXe8/edit?usp=sharing"",""ระนอง!J294"")"),0)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IFERROR(__xludf.DUMMYFUNCTION("IMPORTRANGE(""https://docs.google.com/spreadsheets/d/1IYY_tgx_IHuhSq3AJ5eI5OnqOPBNLWSHKh2a30DoXe8/edit?usp=sharing"",""ระนอง!J295"")"),0)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IFERROR(__xludf.DUMMYFUNCTION("IMPORTRANGE(""https://docs.google.com/spreadsheets/d/1IYY_tgx_IHuhSq3AJ5eI5OnqOPBNLWSHKh2a30DoXe8/edit?usp=sharing"",""ระนอง!I296"")"),165)</f>
        <v>165</v>
      </c>
      <c r="J401" s="377">
        <f ca="1">IFERROR(__xludf.DUMMYFUNCTION("IMPORTRANGE(""https://docs.google.com/spreadsheets/d/1IYY_tgx_IHuhSq3AJ5eI5OnqOPBNLWSHKh2a30DoXe8/edit?usp=sharing"",""ระนอง!J296"")"),165)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IFERROR(__xludf.DUMMYFUNCTION("IMPORTRANGE(""https://docs.google.com/spreadsheets/d/1IYY_tgx_IHuhSq3AJ5eI5OnqOPBNLWSHKh2a30DoXe8/edit?usp=sharing"",""ระนอง!L296"")"),172190)</f>
        <v>172190</v>
      </c>
      <c r="M401" s="379"/>
      <c r="N401" s="379">
        <f ca="1">IFERROR(__xludf.DUMMYFUNCTION("IMPORTRANGE(""https://docs.google.com/spreadsheets/d/1IYY_tgx_IHuhSq3AJ5eI5OnqOPBNLWSHKh2a30DoXe8/edit?usp=sharing"",""ระนอง!M296"")"),90630)</f>
        <v>90630</v>
      </c>
      <c r="O401" s="379">
        <f ca="1">+IF(L401&gt;0,N401*100/L401,0)</f>
        <v>52.633718566699578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IFERROR(__xludf.DUMMYFUNCTION("IMPORTRANGE(""https://docs.google.com/spreadsheets/d/1IYY_tgx_IHuhSq3AJ5eI5OnqOPBNLWSHKh2a30DoXe8/edit?usp=sharing"",""ระนอง!I297"")"),55)</f>
        <v>55</v>
      </c>
      <c r="J402" s="377">
        <f ca="1">IFERROR(__xludf.DUMMYFUNCTION("IMPORTRANGE(""https://docs.google.com/spreadsheets/d/1IYY_tgx_IHuhSq3AJ5eI5OnqOPBNLWSHKh2a30DoXe8/edit?usp=sharing"",""ระนอง!J297"")"),55)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IFERROR(__xludf.DUMMYFUNCTION("IMPORTRANGE(""https://docs.google.com/spreadsheets/d/1IYY_tgx_IHuhSq3AJ5eI5OnqOPBNLWSHKh2a30DoXe8/edit?usp=sharing"",""ระนอง!L298"")"),0)</f>
        <v>0</v>
      </c>
      <c r="M403" s="168"/>
      <c r="N403" s="175">
        <f ca="1">IFERROR(__xludf.DUMMYFUNCTION("IMPORTRANGE(""https://docs.google.com/spreadsheets/d/1IYY_tgx_IHuhSq3AJ5eI5OnqOPBNLWSHKh2a30DoXe8/edit?usp=sharing"",""ระนอง!M298"")"),0)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IFERROR(__xludf.DUMMYFUNCTION("IMPORTRANGE(""https://docs.google.com/spreadsheets/d/1IYY_tgx_IHuhSq3AJ5eI5OnqOPBNLWSHKh2a30DoXe8/edit?usp=sharing"",""ระนอง!L299"")"),172190)</f>
        <v>172190</v>
      </c>
      <c r="M404" s="169"/>
      <c r="N404" s="175">
        <f ca="1">IFERROR(__xludf.DUMMYFUNCTION("IMPORTRANGE(""https://docs.google.com/spreadsheets/d/1IYY_tgx_IHuhSq3AJ5eI5OnqOPBNLWSHKh2a30DoXe8/edit?usp=sharing"",""ระนอง!M299"")"),90630)</f>
        <v>90630</v>
      </c>
      <c r="O404" s="175">
        <f t="shared" ca="1" si="112"/>
        <v>52.633718566699578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IFERROR(__xludf.DUMMYFUNCTION("IMPORTRANGE(""https://docs.google.com/spreadsheets/d/1IYY_tgx_IHuhSq3AJ5eI5OnqOPBNLWSHKh2a30DoXe8/edit?usp=sharing"",""ระนอง!L300"")"),0)</f>
        <v>0</v>
      </c>
      <c r="M405" s="175"/>
      <c r="N405" s="175">
        <f ca="1">IFERROR(__xludf.DUMMYFUNCTION("IMPORTRANGE(""https://docs.google.com/spreadsheets/d/1IYY_tgx_IHuhSq3AJ5eI5OnqOPBNLWSHKh2a30DoXe8/edit?usp=sharing"",""ระนอง!M300"")"),0)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IFERROR(__xludf.DUMMYFUNCTION("IMPORTRANGE(""https://docs.google.com/spreadsheets/d/1IYY_tgx_IHuhSq3AJ5eI5OnqOPBNLWSHKh2a30DoXe8/edit?usp=sharing"",""ระนอง!L301"")"),172190)</f>
        <v>172190</v>
      </c>
      <c r="M406" s="175"/>
      <c r="N406" s="175">
        <f ca="1">IFERROR(__xludf.DUMMYFUNCTION("IMPORTRANGE(""https://docs.google.com/spreadsheets/d/1IYY_tgx_IHuhSq3AJ5eI5OnqOPBNLWSHKh2a30DoXe8/edit?usp=sharing"",""ระนอง!M301"")"),90630)</f>
        <v>90630</v>
      </c>
      <c r="O406" s="175">
        <f t="shared" ca="1" si="112"/>
        <v>52.633718566699578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IFERROR(__xludf.DUMMYFUNCTION("IMPORTRANGE(""https://docs.google.com/spreadsheets/d/1IYY_tgx_IHuhSq3AJ5eI5OnqOPBNLWSHKh2a30DoXe8/edit?usp=sharing"",""ระนอง!M302"")"),63150)</f>
        <v>63150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IFERROR(__xludf.DUMMYFUNCTION("IMPORTRANGE(""https://docs.google.com/spreadsheets/d/1IYY_tgx_IHuhSq3AJ5eI5OnqOPBNLWSHKh2a30DoXe8/edit?usp=sharing"",""ระนอง!M303"")"),15000)</f>
        <v>15000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IFERROR(__xludf.DUMMYFUNCTION("IMPORTRANGE(""https://docs.google.com/spreadsheets/d/1IYY_tgx_IHuhSq3AJ5eI5OnqOPBNLWSHKh2a30DoXe8/edit?usp=sharing"",""ระนอง!M304"")"),0)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IFERROR(__xludf.DUMMYFUNCTION("IMPORTRANGE(""https://docs.google.com/spreadsheets/d/1IYY_tgx_IHuhSq3AJ5eI5OnqOPBNLWSHKh2a30DoXe8/edit?usp=sharing"",""ระนอง!M305"")"),12480)</f>
        <v>12480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IFERROR(__xludf.DUMMYFUNCTION("IMPORTRANGE(""https://docs.google.com/spreadsheets/d/1IYY_tgx_IHuhSq3AJ5eI5OnqOPBNLWSHKh2a30DoXe8/edit?usp=sharing"",""ระนอง!J307"")"),0)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IFERROR(__xludf.DUMMYFUNCTION("IMPORTRANGE(""https://docs.google.com/spreadsheets/d/1IYY_tgx_IHuhSq3AJ5eI5OnqOPBNLWSHKh2a30DoXe8/edit?usp=sharing"",""ระนอง!J308"")"),1)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IFERROR(__xludf.DUMMYFUNCTION("IMPORTRANGE(""https://docs.google.com/spreadsheets/d/1IYY_tgx_IHuhSq3AJ5eI5OnqOPBNLWSHKh2a30DoXe8/edit?usp=sharing"",""ระนอง!J309"")"),1)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IFERROR(__xludf.DUMMYFUNCTION("IMPORTRANGE(""https://docs.google.com/spreadsheets/d/1IYY_tgx_IHuhSq3AJ5eI5OnqOPBNLWSHKh2a30DoXe8/edit?usp=sharing"",""ระนอง!J310"")"),1)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IFERROR(__xludf.DUMMYFUNCTION("IMPORTRANGE(""https://docs.google.com/spreadsheets/d/1IYY_tgx_IHuhSq3AJ5eI5OnqOPBNLWSHKh2a30DoXe8/edit?usp=sharing"",""ระนอง!I311"")"),55)</f>
        <v>55</v>
      </c>
      <c r="J416" s="207">
        <f ca="1">IFERROR(__xludf.DUMMYFUNCTION("IMPORTRANGE(""https://docs.google.com/spreadsheets/d/1IYY_tgx_IHuhSq3AJ5eI5OnqOPBNLWSHKh2a30DoXe8/edit?usp=sharing"",""ระนอง!J311"")"),55)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IFERROR(__xludf.DUMMYFUNCTION("IMPORTRANGE(""https://docs.google.com/spreadsheets/d/1IYY_tgx_IHuhSq3AJ5eI5OnqOPBNLWSHKh2a30DoXe8/edit?usp=sharing"",""ระนอง!I312"")"),10)</f>
        <v>10</v>
      </c>
      <c r="J417" s="398">
        <f ca="1">IFERROR(__xludf.DUMMYFUNCTION("IMPORTRANGE(""https://docs.google.com/spreadsheets/d/1IYY_tgx_IHuhSq3AJ5eI5OnqOPBNLWSHKh2a30DoXe8/edit?usp=sharing"",""ระนอง!J312"")"),10)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IFERROR(__xludf.DUMMYFUNCTION("IMPORTRANGE(""https://docs.google.com/spreadsheets/d/1IYY_tgx_IHuhSq3AJ5eI5OnqOPBNLWSHKh2a30DoXe8/edit?usp=sharing"",""ระนอง!I313"")"),30)</f>
        <v>30</v>
      </c>
      <c r="J418" s="399">
        <f ca="1">IFERROR(__xludf.DUMMYFUNCTION("IMPORTRANGE(""https://docs.google.com/spreadsheets/d/1IYY_tgx_IHuhSq3AJ5eI5OnqOPBNLWSHKh2a30DoXe8/edit?usp=sharing"",""ระนอง!J313"")"),30)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IFERROR(__xludf.DUMMYFUNCTION("IMPORTRANGE(""https://docs.google.com/spreadsheets/d/1IYY_tgx_IHuhSq3AJ5eI5OnqOPBNLWSHKh2a30DoXe8/edit?usp=sharing"",""ระนอง!I314"")"),10)</f>
        <v>10</v>
      </c>
      <c r="J419" s="400">
        <f ca="1">IFERROR(__xludf.DUMMYFUNCTION("IMPORTRANGE(""https://docs.google.com/spreadsheets/d/1IYY_tgx_IHuhSq3AJ5eI5OnqOPBNLWSHKh2a30DoXe8/edit?usp=sharing"",""ระนอง!J314"")"),10)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IFERROR(__xludf.DUMMYFUNCTION("IMPORTRANGE(""https://docs.google.com/spreadsheets/d/1IYY_tgx_IHuhSq3AJ5eI5OnqOPBNLWSHKh2a30DoXe8/edit?usp=sharing"",""ระนอง!I315"")"),10)</f>
        <v>10</v>
      </c>
      <c r="J420" s="400">
        <f ca="1">IFERROR(__xludf.DUMMYFUNCTION("IMPORTRANGE(""https://docs.google.com/spreadsheets/d/1IYY_tgx_IHuhSq3AJ5eI5OnqOPBNLWSHKh2a30DoXe8/edit?usp=sharing"",""ระนอง!J315"")"),10)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IFERROR(__xludf.DUMMYFUNCTION("IMPORTRANGE(""https://docs.google.com/spreadsheets/d/1IYY_tgx_IHuhSq3AJ5eI5OnqOPBNLWSHKh2a30DoXe8/edit?usp=sharing"",""ระนอง!I316"")"),25)</f>
        <v>25</v>
      </c>
      <c r="J421" s="398">
        <f ca="1">IFERROR(__xludf.DUMMYFUNCTION("IMPORTRANGE(""https://docs.google.com/spreadsheets/d/1IYY_tgx_IHuhSq3AJ5eI5OnqOPBNLWSHKh2a30DoXe8/edit?usp=sharing"",""ระนอง!J316"")"),25)</f>
        <v>25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IFERROR(__xludf.DUMMYFUNCTION("IMPORTRANGE(""https://docs.google.com/spreadsheets/d/1IYY_tgx_IHuhSq3AJ5eI5OnqOPBNLWSHKh2a30DoXe8/edit?usp=sharing"",""ระนอง!I317"")"),75)</f>
        <v>75</v>
      </c>
      <c r="J422" s="399">
        <f ca="1">IFERROR(__xludf.DUMMYFUNCTION("IMPORTRANGE(""https://docs.google.com/spreadsheets/d/1IYY_tgx_IHuhSq3AJ5eI5OnqOPBNLWSHKh2a30DoXe8/edit?usp=sharing"",""ระนอง!J317"")"),75)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IFERROR(__xludf.DUMMYFUNCTION("IMPORTRANGE(""https://docs.google.com/spreadsheets/d/1IYY_tgx_IHuhSq3AJ5eI5OnqOPBNLWSHKh2a30DoXe8/edit?usp=sharing"",""ระนอง!I318"")"),25)</f>
        <v>25</v>
      </c>
      <c r="J423" s="400">
        <f ca="1">IFERROR(__xludf.DUMMYFUNCTION("IMPORTRANGE(""https://docs.google.com/spreadsheets/d/1IYY_tgx_IHuhSq3AJ5eI5OnqOPBNLWSHKh2a30DoXe8/edit?usp=sharing"",""ระนอง!J318"")"),25)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IFERROR(__xludf.DUMMYFUNCTION("IMPORTRANGE(""https://docs.google.com/spreadsheets/d/1IYY_tgx_IHuhSq3AJ5eI5OnqOPBNLWSHKh2a30DoXe8/edit?usp=sharing"",""ระนอง!I319"")"),25)</f>
        <v>25</v>
      </c>
      <c r="J424" s="400">
        <f ca="1">IFERROR(__xludf.DUMMYFUNCTION("IMPORTRANGE(""https://docs.google.com/spreadsheets/d/1IYY_tgx_IHuhSq3AJ5eI5OnqOPBNLWSHKh2a30DoXe8/edit?usp=sharing"",""ระนอง!J319"")"),25)</f>
        <v>25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IFERROR(__xludf.DUMMYFUNCTION("IMPORTRANGE(""https://docs.google.com/spreadsheets/d/1IYY_tgx_IHuhSq3AJ5eI5OnqOPBNLWSHKh2a30DoXe8/edit?usp=sharing"",""ระนอง!I320"")"),25)</f>
        <v>25</v>
      </c>
      <c r="J425" s="400">
        <f ca="1">IFERROR(__xludf.DUMMYFUNCTION("IMPORTRANGE(""https://docs.google.com/spreadsheets/d/1IYY_tgx_IHuhSq3AJ5eI5OnqOPBNLWSHKh2a30DoXe8/edit?usp=sharing"",""ระนอง!J320"")"),25)</f>
        <v>25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IFERROR(__xludf.DUMMYFUNCTION("IMPORTRANGE(""https://docs.google.com/spreadsheets/d/1IYY_tgx_IHuhSq3AJ5eI5OnqOPBNLWSHKh2a30DoXe8/edit?usp=sharing"",""ระนอง!I321"")"),20)</f>
        <v>20</v>
      </c>
      <c r="J426" s="398">
        <f ca="1">IFERROR(__xludf.DUMMYFUNCTION("IMPORTRANGE(""https://docs.google.com/spreadsheets/d/1IYY_tgx_IHuhSq3AJ5eI5OnqOPBNLWSHKh2a30DoXe8/edit?usp=sharing"",""ระนอง!J321"")"),20)</f>
        <v>20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IFERROR(__xludf.DUMMYFUNCTION("IMPORTRANGE(""https://docs.google.com/spreadsheets/d/1IYY_tgx_IHuhSq3AJ5eI5OnqOPBNLWSHKh2a30DoXe8/edit?usp=sharing"",""ระนอง!I322"")"),60)</f>
        <v>60</v>
      </c>
      <c r="J427" s="399">
        <f ca="1">IFERROR(__xludf.DUMMYFUNCTION("IMPORTRANGE(""https://docs.google.com/spreadsheets/d/1IYY_tgx_IHuhSq3AJ5eI5OnqOPBNLWSHKh2a30DoXe8/edit?usp=sharing"",""ระนอง!J322"")"),60)</f>
        <v>60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IFERROR(__xludf.DUMMYFUNCTION("IMPORTRANGE(""https://docs.google.com/spreadsheets/d/1IYY_tgx_IHuhSq3AJ5eI5OnqOPBNLWSHKh2a30DoXe8/edit?usp=sharing"",""ระนอง!I323"")"),20)</f>
        <v>20</v>
      </c>
      <c r="J428" s="400">
        <f ca="1">IFERROR(__xludf.DUMMYFUNCTION("IMPORTRANGE(""https://docs.google.com/spreadsheets/d/1IYY_tgx_IHuhSq3AJ5eI5OnqOPBNLWSHKh2a30DoXe8/edit?usp=sharing"",""ระนอง!J323"")"),20)</f>
        <v>20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IFERROR(__xludf.DUMMYFUNCTION("IMPORTRANGE(""https://docs.google.com/spreadsheets/d/1IYY_tgx_IHuhSq3AJ5eI5OnqOPBNLWSHKh2a30DoXe8/edit?usp=sharing"",""ระนอง!I324"")"),20)</f>
        <v>20</v>
      </c>
      <c r="J429" s="400">
        <f ca="1">IFERROR(__xludf.DUMMYFUNCTION("IMPORTRANGE(""https://docs.google.com/spreadsheets/d/1IYY_tgx_IHuhSq3AJ5eI5OnqOPBNLWSHKh2a30DoXe8/edit?usp=sharing"",""ระนอง!J324"")"),20)</f>
        <v>20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IFERROR(__xludf.DUMMYFUNCTION("IMPORTRANGE(""https://docs.google.com/spreadsheets/d/1IYY_tgx_IHuhSq3AJ5eI5OnqOPBNLWSHKh2a30DoXe8/edit?usp=sharing"",""ระนอง!I325"")"),35)</f>
        <v>35</v>
      </c>
      <c r="J430" s="398">
        <f ca="1">IFERROR(__xludf.DUMMYFUNCTION("IMPORTRANGE(""https://docs.google.com/spreadsheets/d/1IYY_tgx_IHuhSq3AJ5eI5OnqOPBNLWSHKh2a30DoXe8/edit?usp=sharing"",""ระนอง!J325"")"),0)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IFERROR(__xludf.DUMMYFUNCTION("IMPORTRANGE(""https://docs.google.com/spreadsheets/d/1IYY_tgx_IHuhSq3AJ5eI5OnqOPBNLWSHKh2a30DoXe8/edit?usp=sharing"",""ระนอง!I326"")"),10)</f>
        <v>10</v>
      </c>
      <c r="J431" s="400">
        <f ca="1">IFERROR(__xludf.DUMMYFUNCTION("IMPORTRANGE(""https://docs.google.com/spreadsheets/d/1IYY_tgx_IHuhSq3AJ5eI5OnqOPBNLWSHKh2a30DoXe8/edit?usp=sharing"",""ระนอง!J326"")"),10)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IFERROR(__xludf.DUMMYFUNCTION("IMPORTRANGE(""https://docs.google.com/spreadsheets/d/1IYY_tgx_IHuhSq3AJ5eI5OnqOPBNLWSHKh2a30DoXe8/edit?usp=sharing"",""ระนอง!I327"")"),25)</f>
        <v>25</v>
      </c>
      <c r="J432" s="400">
        <f ca="1">IFERROR(__xludf.DUMMYFUNCTION("IMPORTRANGE(""https://docs.google.com/spreadsheets/d/1IYY_tgx_IHuhSq3AJ5eI5OnqOPBNLWSHKh2a30DoXe8/edit?usp=sharing"",""ระนอง!J327"")"),0)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IFERROR(__xludf.DUMMYFUNCTION("IMPORTRANGE(""https://docs.google.com/spreadsheets/d/1IYY_tgx_IHuhSq3AJ5eI5OnqOPBNLWSHKh2a30DoXe8/edit?usp=sharing"",""ระนอง!J328"")"),0)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IFERROR(__xludf.DUMMYFUNCTION("IMPORTRANGE(""https://docs.google.com/spreadsheets/d/1IYY_tgx_IHuhSq3AJ5eI5OnqOPBNLWSHKh2a30DoXe8/edit?usp=sharing"",""ระนอง!J329"")"),0)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IFERROR(__xludf.DUMMYFUNCTION("IMPORTRANGE(""https://docs.google.com/spreadsheets/d/1IYY_tgx_IHuhSq3AJ5eI5OnqOPBNLWSHKh2a30DoXe8/edit?usp=sharing"",""ระนอง!I330"")"),10)</f>
        <v>10</v>
      </c>
      <c r="J435" s="416">
        <f ca="1">IFERROR(__xludf.DUMMYFUNCTION("IMPORTRANGE(""https://docs.google.com/spreadsheets/d/1IYY_tgx_IHuhSq3AJ5eI5OnqOPBNLWSHKh2a30DoXe8/edit?usp=sharing"",""ระนอง!J330"")"),10)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IFERROR(__xludf.DUMMYFUNCTION("IMPORTRANGE(""https://docs.google.com/spreadsheets/d/1IYY_tgx_IHuhSq3AJ5eI5OnqOPBNLWSHKh2a30DoXe8/edit?usp=sharing"",""ระนอง!L330"")"),76000)</f>
        <v>76000</v>
      </c>
      <c r="M435" s="418"/>
      <c r="N435" s="418">
        <f ca="1">IFERROR(__xludf.DUMMYFUNCTION("IMPORTRANGE(""https://docs.google.com/spreadsheets/d/1IYY_tgx_IHuhSq3AJ5eI5OnqOPBNLWSHKh2a30DoXe8/edit?usp=sharing"",""ระนอง!M330"")"),41830)</f>
        <v>41830</v>
      </c>
      <c r="O435" s="418">
        <f t="shared" ref="O435:O439" ca="1" si="114">+IF(L435&gt;0,N435*100/L435,0)</f>
        <v>55.039473684210527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IFERROR(__xludf.DUMMYFUNCTION("IMPORTRANGE(""https://docs.google.com/spreadsheets/d/1IYY_tgx_IHuhSq3AJ5eI5OnqOPBNLWSHKh2a30DoXe8/edit?usp=sharing"",""ระนอง!L331"")"),0)</f>
        <v>0</v>
      </c>
      <c r="M436" s="168"/>
      <c r="N436" s="175">
        <f ca="1">IFERROR(__xludf.DUMMYFUNCTION("IMPORTRANGE(""https://docs.google.com/spreadsheets/d/1IYY_tgx_IHuhSq3AJ5eI5OnqOPBNLWSHKh2a30DoXe8/edit?usp=sharing"",""ระนอง!M331"")"),0)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IFERROR(__xludf.DUMMYFUNCTION("IMPORTRANGE(""https://docs.google.com/spreadsheets/d/1IYY_tgx_IHuhSq3AJ5eI5OnqOPBNLWSHKh2a30DoXe8/edit?usp=sharing"",""ระนอง!L332"")"),76000)</f>
        <v>76000</v>
      </c>
      <c r="M437" s="169"/>
      <c r="N437" s="175">
        <f ca="1">IFERROR(__xludf.DUMMYFUNCTION("IMPORTRANGE(""https://docs.google.com/spreadsheets/d/1IYY_tgx_IHuhSq3AJ5eI5OnqOPBNLWSHKh2a30DoXe8/edit?usp=sharing"",""ระนอง!M332"")"),41830)</f>
        <v>41830</v>
      </c>
      <c r="O437" s="175">
        <f t="shared" ca="1" si="114"/>
        <v>55.039473684210527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IFERROR(__xludf.DUMMYFUNCTION("IMPORTRANGE(""https://docs.google.com/spreadsheets/d/1IYY_tgx_IHuhSq3AJ5eI5OnqOPBNLWSHKh2a30DoXe8/edit?usp=sharing"",""ระนอง!L333"")"),0)</f>
        <v>0</v>
      </c>
      <c r="M438" s="175"/>
      <c r="N438" s="175">
        <f ca="1">IFERROR(__xludf.DUMMYFUNCTION("IMPORTRANGE(""https://docs.google.com/spreadsheets/d/1IYY_tgx_IHuhSq3AJ5eI5OnqOPBNLWSHKh2a30DoXe8/edit?usp=sharing"",""ระนอง!M333"")"),0)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IFERROR(__xludf.DUMMYFUNCTION("IMPORTRANGE(""https://docs.google.com/spreadsheets/d/1IYY_tgx_IHuhSq3AJ5eI5OnqOPBNLWSHKh2a30DoXe8/edit?usp=sharing"",""ระนอง!L334"")"),76000)</f>
        <v>76000</v>
      </c>
      <c r="M439" s="175"/>
      <c r="N439" s="175">
        <f ca="1">IFERROR(__xludf.DUMMYFUNCTION("IMPORTRANGE(""https://docs.google.com/spreadsheets/d/1IYY_tgx_IHuhSq3AJ5eI5OnqOPBNLWSHKh2a30DoXe8/edit?usp=sharing"",""ระนอง!M334"")"),41830)</f>
        <v>41830</v>
      </c>
      <c r="O439" s="175">
        <f t="shared" ca="1" si="114"/>
        <v>55.039473684210527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IFERROR(__xludf.DUMMYFUNCTION("IMPORTRANGE(""https://docs.google.com/spreadsheets/d/1IYY_tgx_IHuhSq3AJ5eI5OnqOPBNLWSHKh2a30DoXe8/edit?usp=sharing"",""ระนอง!M335"")"),20200)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IFERROR(__xludf.DUMMYFUNCTION("IMPORTRANGE(""https://docs.google.com/spreadsheets/d/1IYY_tgx_IHuhSq3AJ5eI5OnqOPBNLWSHKh2a30DoXe8/edit?usp=sharing"",""ระนอง!M336"")"),0)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IFERROR(__xludf.DUMMYFUNCTION("IMPORTRANGE(""https://docs.google.com/spreadsheets/d/1IYY_tgx_IHuhSq3AJ5eI5OnqOPBNLWSHKh2a30DoXe8/edit?usp=sharing"",""ระนอง!M337"")"),0)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IFERROR(__xludf.DUMMYFUNCTION("IMPORTRANGE(""https://docs.google.com/spreadsheets/d/1IYY_tgx_IHuhSq3AJ5eI5OnqOPBNLWSHKh2a30DoXe8/edit?usp=sharing"",""ระนอง!M338"")"),21630)</f>
        <v>21630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IFERROR(__xludf.DUMMYFUNCTION("IMPORTRANGE(""https://docs.google.com/spreadsheets/d/1IYY_tgx_IHuhSq3AJ5eI5OnqOPBNLWSHKh2a30DoXe8/edit?usp=sharing"",""ระนอง!J340"")"),0)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IFERROR(__xludf.DUMMYFUNCTION("IMPORTRANGE(""https://docs.google.com/spreadsheets/d/1IYY_tgx_IHuhSq3AJ5eI5OnqOPBNLWSHKh2a30DoXe8/edit?usp=sharing"",""ระนอง!J341"")"),1)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IFERROR(__xludf.DUMMYFUNCTION("IMPORTRANGE(""https://docs.google.com/spreadsheets/d/1IYY_tgx_IHuhSq3AJ5eI5OnqOPBNLWSHKh2a30DoXe8/edit?usp=sharing"",""ระนอง!J342"")"),1)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IFERROR(__xludf.DUMMYFUNCTION("IMPORTRANGE(""https://docs.google.com/spreadsheets/d/1IYY_tgx_IHuhSq3AJ5eI5OnqOPBNLWSHKh2a30DoXe8/edit?usp=sharing"",""ระนอง!J343"")"),1)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IFERROR(__xludf.DUMMYFUNCTION("IMPORTRANGE(""https://docs.google.com/spreadsheets/d/1IYY_tgx_IHuhSq3AJ5eI5OnqOPBNLWSHKh2a30DoXe8/edit?usp=sharing"",""ระนอง!I344"")"),10)</f>
        <v>10</v>
      </c>
      <c r="J449" s="207">
        <f ca="1">IFERROR(__xludf.DUMMYFUNCTION("IMPORTRANGE(""https://docs.google.com/spreadsheets/d/1IYY_tgx_IHuhSq3AJ5eI5OnqOPBNLWSHKh2a30DoXe8/edit?usp=sharing"",""ระนอง!J344"")"),10)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IFERROR(__xludf.DUMMYFUNCTION("IMPORTRANGE(""https://docs.google.com/spreadsheets/d/1IYY_tgx_IHuhSq3AJ5eI5OnqOPBNLWSHKh2a30DoXe8/edit?usp=sharing"",""ระนอง!I345"")"),10)</f>
        <v>10</v>
      </c>
      <c r="J450" s="195">
        <f ca="1">IFERROR(__xludf.DUMMYFUNCTION("IMPORTRANGE(""https://docs.google.com/spreadsheets/d/1IYY_tgx_IHuhSq3AJ5eI5OnqOPBNLWSHKh2a30DoXe8/edit?usp=sharing"",""ระนอง!J345"")"),10)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IFERROR(__xludf.DUMMYFUNCTION("IMPORTRANGE(""https://docs.google.com/spreadsheets/d/1IYY_tgx_IHuhSq3AJ5eI5OnqOPBNLWSHKh2a30DoXe8/edit?usp=sharing"",""ระนอง!I346"")"),0)</f>
        <v>0</v>
      </c>
      <c r="J451" s="194">
        <f ca="1">IFERROR(__xludf.DUMMYFUNCTION("IMPORTRANGE(""https://docs.google.com/spreadsheets/d/1IYY_tgx_IHuhSq3AJ5eI5OnqOPBNLWSHKh2a30DoXe8/edit?usp=sharing"",""ระนอง!J346"")"),0)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IFERROR(__xludf.DUMMYFUNCTION("IMPORTRANGE(""https://docs.google.com/spreadsheets/d/1IYY_tgx_IHuhSq3AJ5eI5OnqOPBNLWSHKh2a30DoXe8/edit?usp=sharing"",""ระนอง!I347"")"),0)</f>
        <v>0</v>
      </c>
      <c r="J452" s="194">
        <f ca="1">IFERROR(__xludf.DUMMYFUNCTION("IMPORTRANGE(""https://docs.google.com/spreadsheets/d/1IYY_tgx_IHuhSq3AJ5eI5OnqOPBNLWSHKh2a30DoXe8/edit?usp=sharing"",""ระนอง!J347"")"),0)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IFERROR(__xludf.DUMMYFUNCTION("IMPORTRANGE(""https://docs.google.com/spreadsheets/d/1IYY_tgx_IHuhSq3AJ5eI5OnqOPBNLWSHKh2a30DoXe8/edit?usp=sharing"",""ระนอง!J348"")"),0)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IFERROR(__xludf.DUMMYFUNCTION("IMPORTRANGE(""https://docs.google.com/spreadsheets/d/1IYY_tgx_IHuhSq3AJ5eI5OnqOPBNLWSHKh2a30DoXe8/edit?usp=sharing"",""ระนอง!J349"")"),0)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IFERROR(__xludf.DUMMYFUNCTION("IMPORTRANGE(""https://docs.google.com/spreadsheets/d/1IYY_tgx_IHuhSq3AJ5eI5OnqOPBNLWSHKh2a30DoXe8/edit?usp=sharing"",""ระนอง!I350"")"),0)</f>
        <v>0</v>
      </c>
      <c r="J455" s="377">
        <f ca="1">IFERROR(__xludf.DUMMYFUNCTION("IMPORTRANGE(""https://docs.google.com/spreadsheets/d/1IYY_tgx_IHuhSq3AJ5eI5OnqOPBNLWSHKh2a30DoXe8/edit?usp=sharing"",""ระนอง!J350"")"),0)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IFERROR(__xludf.DUMMYFUNCTION("IMPORTRANGE(""https://docs.google.com/spreadsheets/d/1IYY_tgx_IHuhSq3AJ5eI5OnqOPBNLWSHKh2a30DoXe8/edit?usp=sharing"",""ระนอง!L350"")"),60226.59)</f>
        <v>60226.59</v>
      </c>
      <c r="M455" s="379"/>
      <c r="N455" s="379">
        <f ca="1">IFERROR(__xludf.DUMMYFUNCTION("IMPORTRANGE(""https://docs.google.com/spreadsheets/d/1IYY_tgx_IHuhSq3AJ5eI5OnqOPBNLWSHKh2a30DoXe8/edit?usp=sharing"",""ระนอง!M350"")"),15000)</f>
        <v>15000</v>
      </c>
      <c r="O455" s="379">
        <f t="shared" ref="O455:O459" ca="1" si="116">+IF(L455&gt;0,N455*100/L455,0)</f>
        <v>24.905942707365636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IFERROR(__xludf.DUMMYFUNCTION("IMPORTRANGE(""https://docs.google.com/spreadsheets/d/1IYY_tgx_IHuhSq3AJ5eI5OnqOPBNLWSHKh2a30DoXe8/edit?usp=sharing"",""ระนอง!L351"")"),0)</f>
        <v>0</v>
      </c>
      <c r="M456" s="168"/>
      <c r="N456" s="175">
        <f ca="1">IFERROR(__xludf.DUMMYFUNCTION("IMPORTRANGE(""https://docs.google.com/spreadsheets/d/1IYY_tgx_IHuhSq3AJ5eI5OnqOPBNLWSHKh2a30DoXe8/edit?usp=sharing"",""ระนอง!M351"")"),0)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IFERROR(__xludf.DUMMYFUNCTION("IMPORTRANGE(""https://docs.google.com/spreadsheets/d/1IYY_tgx_IHuhSq3AJ5eI5OnqOPBNLWSHKh2a30DoXe8/edit?usp=sharing"",""ระนอง!L352"")"),60226.59)</f>
        <v>60226.59</v>
      </c>
      <c r="M457" s="169"/>
      <c r="N457" s="175">
        <f ca="1">IFERROR(__xludf.DUMMYFUNCTION("IMPORTRANGE(""https://docs.google.com/spreadsheets/d/1IYY_tgx_IHuhSq3AJ5eI5OnqOPBNLWSHKh2a30DoXe8/edit?usp=sharing"",""ระนอง!M352"")"),15000)</f>
        <v>15000</v>
      </c>
      <c r="O457" s="175">
        <f t="shared" ca="1" si="116"/>
        <v>24.905942707365636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IFERROR(__xludf.DUMMYFUNCTION("IMPORTRANGE(""https://docs.google.com/spreadsheets/d/1IYY_tgx_IHuhSq3AJ5eI5OnqOPBNLWSHKh2a30DoXe8/edit?usp=sharing"",""ระนอง!L353"")"),0)</f>
        <v>0</v>
      </c>
      <c r="M458" s="175"/>
      <c r="N458" s="175">
        <f ca="1">IFERROR(__xludf.DUMMYFUNCTION("IMPORTRANGE(""https://docs.google.com/spreadsheets/d/1IYY_tgx_IHuhSq3AJ5eI5OnqOPBNLWSHKh2a30DoXe8/edit?usp=sharing"",""ระนอง!M353"")"),0)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IFERROR(__xludf.DUMMYFUNCTION("IMPORTRANGE(""https://docs.google.com/spreadsheets/d/1IYY_tgx_IHuhSq3AJ5eI5OnqOPBNLWSHKh2a30DoXe8/edit?usp=sharing"",""ระนอง!L354"")"),60226.59)</f>
        <v>60226.59</v>
      </c>
      <c r="M459" s="175"/>
      <c r="N459" s="175">
        <f ca="1">IFERROR(__xludf.DUMMYFUNCTION("IMPORTRANGE(""https://docs.google.com/spreadsheets/d/1IYY_tgx_IHuhSq3AJ5eI5OnqOPBNLWSHKh2a30DoXe8/edit?usp=sharing"",""ระนอง!M354"")"),15000)</f>
        <v>15000</v>
      </c>
      <c r="O459" s="175">
        <f t="shared" ca="1" si="116"/>
        <v>24.905942707365636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IFERROR(__xludf.DUMMYFUNCTION("IMPORTRANGE(""https://docs.google.com/spreadsheets/d/1IYY_tgx_IHuhSq3AJ5eI5OnqOPBNLWSHKh2a30DoXe8/edit?usp=sharing"",""ระนอง!M355"")"),0)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IFERROR(__xludf.DUMMYFUNCTION("IMPORTRANGE(""https://docs.google.com/spreadsheets/d/1IYY_tgx_IHuhSq3AJ5eI5OnqOPBNLWSHKh2a30DoXe8/edit?usp=sharing"",""ระนอง!M356"")"),0)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IFERROR(__xludf.DUMMYFUNCTION("IMPORTRANGE(""https://docs.google.com/spreadsheets/d/1IYY_tgx_IHuhSq3AJ5eI5OnqOPBNLWSHKh2a30DoXe8/edit?usp=sharing"",""ระนอง!M357"")"),0)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IFERROR(__xludf.DUMMYFUNCTION("IMPORTRANGE(""https://docs.google.com/spreadsheets/d/1IYY_tgx_IHuhSq3AJ5eI5OnqOPBNLWSHKh2a30DoXe8/edit?usp=sharing"",""ระนอง!M358"")"),15000)</f>
        <v>15000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IFERROR(__xludf.DUMMYFUNCTION("IMPORTRANGE(""https://docs.google.com/spreadsheets/d/1IYY_tgx_IHuhSq3AJ5eI5OnqOPBNLWSHKh2a30DoXe8/edit?usp=sharing"",""ระนอง!I359"")"),0)</f>
        <v>0</v>
      </c>
      <c r="J464" s="273">
        <f ca="1">IFERROR(__xludf.DUMMYFUNCTION("IMPORTRANGE(""https://docs.google.com/spreadsheets/d/1IYY_tgx_IHuhSq3AJ5eI5OnqOPBNLWSHKh2a30DoXe8/edit?usp=sharing"",""ระนอง!J359"")"),0)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IFERROR(__xludf.DUMMYFUNCTION("IMPORTRANGE(""https://docs.google.com/spreadsheets/d/1IYY_tgx_IHuhSq3AJ5eI5OnqOPBNLWSHKh2a30DoXe8/edit?usp=sharing"",""ระนอง!I360"")"),0)</f>
        <v>0</v>
      </c>
      <c r="J465" s="426">
        <f ca="1">IFERROR(__xludf.DUMMYFUNCTION("IMPORTRANGE(""https://docs.google.com/spreadsheets/d/1IYY_tgx_IHuhSq3AJ5eI5OnqOPBNLWSHKh2a30DoXe8/edit?usp=sharing"",""ระนอง!J360"")"),0)</f>
        <v>0</v>
      </c>
      <c r="K465" s="208">
        <f t="shared" ca="1" si="117"/>
        <v>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IFERROR(__xludf.DUMMYFUNCTION("IMPORTRANGE(""https://docs.google.com/spreadsheets/d/1IYY_tgx_IHuhSq3AJ5eI5OnqOPBNLWSHKh2a30DoXe8/edit?usp=sharing"",""ระนอง!I361"")"),0)</f>
        <v>0</v>
      </c>
      <c r="J466" s="426">
        <f ca="1">IFERROR(__xludf.DUMMYFUNCTION("IMPORTRANGE(""https://docs.google.com/spreadsheets/d/1IYY_tgx_IHuhSq3AJ5eI5OnqOPBNLWSHKh2a30DoXe8/edit?usp=sharing"",""ระนอง!J361"")"),0)</f>
        <v>0</v>
      </c>
      <c r="K466" s="208">
        <f t="shared" ca="1" si="117"/>
        <v>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IFERROR(__xludf.DUMMYFUNCTION("IMPORTRANGE(""https://docs.google.com/spreadsheets/d/1IYY_tgx_IHuhSq3AJ5eI5OnqOPBNLWSHKh2a30DoXe8/edit?usp=sharing"",""ระนอง!I362"")"),0)</f>
        <v>0</v>
      </c>
      <c r="J467" s="195">
        <f ca="1">IFERROR(__xludf.DUMMYFUNCTION("IMPORTRANGE(""https://docs.google.com/spreadsheets/d/1IYY_tgx_IHuhSq3AJ5eI5OnqOPBNLWSHKh2a30DoXe8/edit?usp=sharing"",""ระนอง!J362"")"),0)</f>
        <v>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IFERROR(__xludf.DUMMYFUNCTION("IMPORTRANGE(""https://docs.google.com/spreadsheets/d/1IYY_tgx_IHuhSq3AJ5eI5OnqOPBNLWSHKh2a30DoXe8/edit?usp=sharing"",""ระนอง!I363"")"),0)</f>
        <v>0</v>
      </c>
      <c r="J468" s="195">
        <f ca="1">IFERROR(__xludf.DUMMYFUNCTION("IMPORTRANGE(""https://docs.google.com/spreadsheets/d/1IYY_tgx_IHuhSq3AJ5eI5OnqOPBNLWSHKh2a30DoXe8/edit?usp=sharing"",""ระนอง!J363"")"),0)</f>
        <v>0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IFERROR(__xludf.DUMMYFUNCTION("IMPORTRANGE(""https://docs.google.com/spreadsheets/d/1IYY_tgx_IHuhSq3AJ5eI5OnqOPBNLWSHKh2a30DoXe8/edit?usp=sharing"",""ระนอง!I364"")"),0)</f>
        <v>0</v>
      </c>
      <c r="J469" s="195">
        <f ca="1">IFERROR(__xludf.DUMMYFUNCTION("IMPORTRANGE(""https://docs.google.com/spreadsheets/d/1IYY_tgx_IHuhSq3AJ5eI5OnqOPBNLWSHKh2a30DoXe8/edit?usp=sharing"",""ระนอง!J364"")"),0)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IFERROR(__xludf.DUMMYFUNCTION("IMPORTRANGE(""https://docs.google.com/spreadsheets/d/1IYY_tgx_IHuhSq3AJ5eI5OnqOPBNLWSHKh2a30DoXe8/edit?usp=sharing"",""ระนอง!I365"")"),0)</f>
        <v>0</v>
      </c>
      <c r="J470" s="195">
        <f ca="1">IFERROR(__xludf.DUMMYFUNCTION("IMPORTRANGE(""https://docs.google.com/spreadsheets/d/1IYY_tgx_IHuhSq3AJ5eI5OnqOPBNLWSHKh2a30DoXe8/edit?usp=sharing"",""ระนอง!J365"")"),0)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IFERROR(__xludf.DUMMYFUNCTION("IMPORTRANGE(""https://docs.google.com/spreadsheets/d/1IYY_tgx_IHuhSq3AJ5eI5OnqOPBNLWSHKh2a30DoXe8/edit?usp=sharing"",""ระนอง!I366"")"),0)</f>
        <v>0</v>
      </c>
      <c r="J471" s="195">
        <f ca="1">IFERROR(__xludf.DUMMYFUNCTION("IMPORTRANGE(""https://docs.google.com/spreadsheets/d/1IYY_tgx_IHuhSq3AJ5eI5OnqOPBNLWSHKh2a30DoXe8/edit?usp=sharing"",""ระนอง!J366"")"),0)</f>
        <v>0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IFERROR(__xludf.DUMMYFUNCTION("IMPORTRANGE(""https://docs.google.com/spreadsheets/d/1IYY_tgx_IHuhSq3AJ5eI5OnqOPBNLWSHKh2a30DoXe8/edit?usp=sharing"",""ระนอง!I367"")"),0)</f>
        <v>0</v>
      </c>
      <c r="J472" s="195">
        <f ca="1">IFERROR(__xludf.DUMMYFUNCTION("IMPORTRANGE(""https://docs.google.com/spreadsheets/d/1IYY_tgx_IHuhSq3AJ5eI5OnqOPBNLWSHKh2a30DoXe8/edit?usp=sharing"",""ระนอง!J367"")"),0)</f>
        <v>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IFERROR(__xludf.DUMMYFUNCTION("IMPORTRANGE(""https://docs.google.com/spreadsheets/d/1IYY_tgx_IHuhSq3AJ5eI5OnqOPBNLWSHKh2a30DoXe8/edit?usp=sharing"",""ระนอง!I368"")"),0)</f>
        <v>0</v>
      </c>
      <c r="J473" s="426">
        <f ca="1">IFERROR(__xludf.DUMMYFUNCTION("IMPORTRANGE(""https://docs.google.com/spreadsheets/d/1IYY_tgx_IHuhSq3AJ5eI5OnqOPBNLWSHKh2a30DoXe8/edit?usp=sharing"",""ระนอง!J368"")"),0)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IFERROR(__xludf.DUMMYFUNCTION("IMPORTRANGE(""https://docs.google.com/spreadsheets/d/1IYY_tgx_IHuhSq3AJ5eI5OnqOPBNLWSHKh2a30DoXe8/edit?usp=sharing"",""ระนอง!I369"")"),0)</f>
        <v>0</v>
      </c>
      <c r="J474" s="426">
        <f ca="1">IFERROR(__xludf.DUMMYFUNCTION("IMPORTRANGE(""https://docs.google.com/spreadsheets/d/1IYY_tgx_IHuhSq3AJ5eI5OnqOPBNLWSHKh2a30DoXe8/edit?usp=sharing"",""ระนอง!J369"")"),0)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IFERROR(__xludf.DUMMYFUNCTION("IMPORTRANGE(""https://docs.google.com/spreadsheets/d/1IYY_tgx_IHuhSq3AJ5eI5OnqOPBNLWSHKh2a30DoXe8/edit?usp=sharing"",""ระนอง!I370"")"),0)</f>
        <v>0</v>
      </c>
      <c r="J475" s="195">
        <f ca="1">IFERROR(__xludf.DUMMYFUNCTION("IMPORTRANGE(""https://docs.google.com/spreadsheets/d/1IYY_tgx_IHuhSq3AJ5eI5OnqOPBNLWSHKh2a30DoXe8/edit?usp=sharing"",""ระนอง!J370"")"),0)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IFERROR(__xludf.DUMMYFUNCTION("IMPORTRANGE(""https://docs.google.com/spreadsheets/d/1IYY_tgx_IHuhSq3AJ5eI5OnqOPBNLWSHKh2a30DoXe8/edit?usp=sharing"",""ระนอง!I371"")"),0)</f>
        <v>0</v>
      </c>
      <c r="J476" s="195">
        <f ca="1">IFERROR(__xludf.DUMMYFUNCTION("IMPORTRANGE(""https://docs.google.com/spreadsheets/d/1IYY_tgx_IHuhSq3AJ5eI5OnqOPBNLWSHKh2a30DoXe8/edit?usp=sharing"",""ระนอง!J371"")"),0)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IFERROR(__xludf.DUMMYFUNCTION("IMPORTRANGE(""https://docs.google.com/spreadsheets/d/1IYY_tgx_IHuhSq3AJ5eI5OnqOPBNLWSHKh2a30DoXe8/edit?usp=sharing"",""ระนอง!I372"")"),0)</f>
        <v>0</v>
      </c>
      <c r="J477" s="195">
        <f ca="1">IFERROR(__xludf.DUMMYFUNCTION("IMPORTRANGE(""https://docs.google.com/spreadsheets/d/1IYY_tgx_IHuhSq3AJ5eI5OnqOPBNLWSHKh2a30DoXe8/edit?usp=sharing"",""ระนอง!J372"")"),0)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IFERROR(__xludf.DUMMYFUNCTION("IMPORTRANGE(""https://docs.google.com/spreadsheets/d/1IYY_tgx_IHuhSq3AJ5eI5OnqOPBNLWSHKh2a30DoXe8/edit?usp=sharing"",""ระนอง!I373"")"),0)</f>
        <v>0</v>
      </c>
      <c r="J478" s="195">
        <f ca="1">IFERROR(__xludf.DUMMYFUNCTION("IMPORTRANGE(""https://docs.google.com/spreadsheets/d/1IYY_tgx_IHuhSq3AJ5eI5OnqOPBNLWSHKh2a30DoXe8/edit?usp=sharing"",""ระนอง!J373"")"),0)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IFERROR(__xludf.DUMMYFUNCTION("IMPORTRANGE(""https://docs.google.com/spreadsheets/d/1IYY_tgx_IHuhSq3AJ5eI5OnqOPBNLWSHKh2a30DoXe8/edit?usp=sharing"",""ระนอง!I374"")"),0)</f>
        <v>0</v>
      </c>
      <c r="J479" s="195">
        <f ca="1">IFERROR(__xludf.DUMMYFUNCTION("IMPORTRANGE(""https://docs.google.com/spreadsheets/d/1IYY_tgx_IHuhSq3AJ5eI5OnqOPBNLWSHKh2a30DoXe8/edit?usp=sharing"",""ระนอง!J374"")"),0)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IFERROR(__xludf.DUMMYFUNCTION("IMPORTRANGE(""https://docs.google.com/spreadsheets/d/1IYY_tgx_IHuhSq3AJ5eI5OnqOPBNLWSHKh2a30DoXe8/edit?usp=sharing"",""ระนอง!I375"")"),0)</f>
        <v>0</v>
      </c>
      <c r="J480" s="195">
        <f ca="1">IFERROR(__xludf.DUMMYFUNCTION("IMPORTRANGE(""https://docs.google.com/spreadsheets/d/1IYY_tgx_IHuhSq3AJ5eI5OnqOPBNLWSHKh2a30DoXe8/edit?usp=sharing"",""ระนอง!J375"")"),0)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IFERROR(__xludf.DUMMYFUNCTION("IMPORTRANGE(""https://docs.google.com/spreadsheets/d/1IYY_tgx_IHuhSq3AJ5eI5OnqOPBNLWSHKh2a30DoXe8/edit?usp=sharing"",""ระนอง!I376"")"),0)</f>
        <v>0</v>
      </c>
      <c r="J481" s="426">
        <f ca="1">IFERROR(__xludf.DUMMYFUNCTION("IMPORTRANGE(""https://docs.google.com/spreadsheets/d/1IYY_tgx_IHuhSq3AJ5eI5OnqOPBNLWSHKh2a30DoXe8/edit?usp=sharing"",""ระนอง!J376"")"),0)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IFERROR(__xludf.DUMMYFUNCTION("IMPORTRANGE(""https://docs.google.com/spreadsheets/d/1IYY_tgx_IHuhSq3AJ5eI5OnqOPBNLWSHKh2a30DoXe8/edit?usp=sharing"",""ระนอง!I377"")"),0)</f>
        <v>0</v>
      </c>
      <c r="J482" s="426">
        <f ca="1">IFERROR(__xludf.DUMMYFUNCTION("IMPORTRANGE(""https://docs.google.com/spreadsheets/d/1IYY_tgx_IHuhSq3AJ5eI5OnqOPBNLWSHKh2a30DoXe8/edit?usp=sharing"",""ระนอง!J377"")"),0)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IFERROR(__xludf.DUMMYFUNCTION("IMPORTRANGE(""https://docs.google.com/spreadsheets/d/1IYY_tgx_IHuhSq3AJ5eI5OnqOPBNLWSHKh2a30DoXe8/edit?usp=sharing"",""ระนอง!I378"")"),0)</f>
        <v>0</v>
      </c>
      <c r="J483" s="195">
        <f ca="1">IFERROR(__xludf.DUMMYFUNCTION("IMPORTRANGE(""https://docs.google.com/spreadsheets/d/1IYY_tgx_IHuhSq3AJ5eI5OnqOPBNLWSHKh2a30DoXe8/edit?usp=sharing"",""ระนอง!J378"")"),0)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IFERROR(__xludf.DUMMYFUNCTION("IMPORTRANGE(""https://docs.google.com/spreadsheets/d/1IYY_tgx_IHuhSq3AJ5eI5OnqOPBNLWSHKh2a30DoXe8/edit?usp=sharing"",""ระนอง!I379"")"),0)</f>
        <v>0</v>
      </c>
      <c r="J484" s="195">
        <f ca="1">IFERROR(__xludf.DUMMYFUNCTION("IMPORTRANGE(""https://docs.google.com/spreadsheets/d/1IYY_tgx_IHuhSq3AJ5eI5OnqOPBNLWSHKh2a30DoXe8/edit?usp=sharing"",""ระนอง!J379"")"),0)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IFERROR(__xludf.DUMMYFUNCTION("IMPORTRANGE(""https://docs.google.com/spreadsheets/d/1IYY_tgx_IHuhSq3AJ5eI5OnqOPBNLWSHKh2a30DoXe8/edit?usp=sharing"",""ระนอง!I380"")"),0)</f>
        <v>0</v>
      </c>
      <c r="J485" s="195">
        <f ca="1">IFERROR(__xludf.DUMMYFUNCTION("IMPORTRANGE(""https://docs.google.com/spreadsheets/d/1IYY_tgx_IHuhSq3AJ5eI5OnqOPBNLWSHKh2a30DoXe8/edit?usp=sharing"",""ระนอง!J380"")"),0)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IFERROR(__xludf.DUMMYFUNCTION("IMPORTRANGE(""https://docs.google.com/spreadsheets/d/1IYY_tgx_IHuhSq3AJ5eI5OnqOPBNLWSHKh2a30DoXe8/edit?usp=sharing"",""ระนอง!I381"")"),0)</f>
        <v>0</v>
      </c>
      <c r="J486" s="195">
        <f ca="1">IFERROR(__xludf.DUMMYFUNCTION("IMPORTRANGE(""https://docs.google.com/spreadsheets/d/1IYY_tgx_IHuhSq3AJ5eI5OnqOPBNLWSHKh2a30DoXe8/edit?usp=sharing"",""ระนอง!J381"")"),0)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IFERROR(__xludf.DUMMYFUNCTION("IMPORTRANGE(""https://docs.google.com/spreadsheets/d/1IYY_tgx_IHuhSq3AJ5eI5OnqOPBNLWSHKh2a30DoXe8/edit?usp=sharing"",""ระนอง!I382"")"),0)</f>
        <v>0</v>
      </c>
      <c r="J487" s="426">
        <f ca="1">IFERROR(__xludf.DUMMYFUNCTION("IMPORTRANGE(""https://docs.google.com/spreadsheets/d/1IYY_tgx_IHuhSq3AJ5eI5OnqOPBNLWSHKh2a30DoXe8/edit?usp=sharing"",""ระนอง!J382"")"),0)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IFERROR(__xludf.DUMMYFUNCTION("IMPORTRANGE(""https://docs.google.com/spreadsheets/d/1IYY_tgx_IHuhSq3AJ5eI5OnqOPBNLWSHKh2a30DoXe8/edit?usp=sharing"",""ระนอง!I383"")"),0)</f>
        <v>0</v>
      </c>
      <c r="J488" s="426">
        <f ca="1">IFERROR(__xludf.DUMMYFUNCTION("IMPORTRANGE(""https://docs.google.com/spreadsheets/d/1IYY_tgx_IHuhSq3AJ5eI5OnqOPBNLWSHKh2a30DoXe8/edit?usp=sharing"",""ระนอง!J383"")"),0)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IFERROR(__xludf.DUMMYFUNCTION("IMPORTRANGE(""https://docs.google.com/spreadsheets/d/1IYY_tgx_IHuhSq3AJ5eI5OnqOPBNLWSHKh2a30DoXe8/edit?usp=sharing"",""ระนอง!I384"")"),0)</f>
        <v>0</v>
      </c>
      <c r="J489" s="195">
        <f ca="1">IFERROR(__xludf.DUMMYFUNCTION("IMPORTRANGE(""https://docs.google.com/spreadsheets/d/1IYY_tgx_IHuhSq3AJ5eI5OnqOPBNLWSHKh2a30DoXe8/edit?usp=sharing"",""ระนอง!J384"")"),0)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IFERROR(__xludf.DUMMYFUNCTION("IMPORTRANGE(""https://docs.google.com/spreadsheets/d/1IYY_tgx_IHuhSq3AJ5eI5OnqOPBNLWSHKh2a30DoXe8/edit?usp=sharing"",""ระนอง!I385"")"),0)</f>
        <v>0</v>
      </c>
      <c r="J490" s="195">
        <f ca="1">IFERROR(__xludf.DUMMYFUNCTION("IMPORTRANGE(""https://docs.google.com/spreadsheets/d/1IYY_tgx_IHuhSq3AJ5eI5OnqOPBNLWSHKh2a30DoXe8/edit?usp=sharing"",""ระนอง!J385"")"),0)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IFERROR(__xludf.DUMMYFUNCTION("IMPORTRANGE(""https://docs.google.com/spreadsheets/d/1IYY_tgx_IHuhSq3AJ5eI5OnqOPBNLWSHKh2a30DoXe8/edit?usp=sharing"",""ระนอง!I386"")"),0)</f>
        <v>0</v>
      </c>
      <c r="J491" s="195">
        <f ca="1">IFERROR(__xludf.DUMMYFUNCTION("IMPORTRANGE(""https://docs.google.com/spreadsheets/d/1IYY_tgx_IHuhSq3AJ5eI5OnqOPBNLWSHKh2a30DoXe8/edit?usp=sharing"",""ระนอง!J386"")"),0)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IFERROR(__xludf.DUMMYFUNCTION("IMPORTRANGE(""https://docs.google.com/spreadsheets/d/1IYY_tgx_IHuhSq3AJ5eI5OnqOPBNLWSHKh2a30DoXe8/edit?usp=sharing"",""ระนอง!I387"")"),0)</f>
        <v>0</v>
      </c>
      <c r="J492" s="195">
        <f ca="1">IFERROR(__xludf.DUMMYFUNCTION("IMPORTRANGE(""https://docs.google.com/spreadsheets/d/1IYY_tgx_IHuhSq3AJ5eI5OnqOPBNLWSHKh2a30DoXe8/edit?usp=sharing"",""ระนอง!J387"")"),0)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IFERROR(__xludf.DUMMYFUNCTION("IMPORTRANGE(""https://docs.google.com/spreadsheets/d/1IYY_tgx_IHuhSq3AJ5eI5OnqOPBNLWSHKh2a30DoXe8/edit?usp=sharing"",""ระนอง!I388"")"),0)</f>
        <v>0</v>
      </c>
      <c r="J493" s="195">
        <f ca="1">IFERROR(__xludf.DUMMYFUNCTION("IMPORTRANGE(""https://docs.google.com/spreadsheets/d/1IYY_tgx_IHuhSq3AJ5eI5OnqOPBNLWSHKh2a30DoXe8/edit?usp=sharing"",""ระนอง!J388"")"),0)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IFERROR(__xludf.DUMMYFUNCTION("IMPORTRANGE(""https://docs.google.com/spreadsheets/d/1IYY_tgx_IHuhSq3AJ5eI5OnqOPBNLWSHKh2a30DoXe8/edit?usp=sharing"",""ระนอง!I389"")"),0)</f>
        <v>0</v>
      </c>
      <c r="J494" s="442">
        <f ca="1">IFERROR(__xludf.DUMMYFUNCTION("IMPORTRANGE(""https://docs.google.com/spreadsheets/d/1IYY_tgx_IHuhSq3AJ5eI5OnqOPBNLWSHKh2a30DoXe8/edit?usp=sharing"",""ระนอง!J389"")"),0)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IFERROR(__xludf.DUMMYFUNCTION("IMPORTRANGE(""https://docs.google.com/spreadsheets/d/1IYY_tgx_IHuhSq3AJ5eI5OnqOPBNLWSHKh2a30DoXe8/edit?usp=sharing"",""ระนอง!I390"")"),0)</f>
        <v>0</v>
      </c>
      <c r="J495" s="442">
        <f ca="1">IFERROR(__xludf.DUMMYFUNCTION("IMPORTRANGE(""https://docs.google.com/spreadsheets/d/1IYY_tgx_IHuhSq3AJ5eI5OnqOPBNLWSHKh2a30DoXe8/edit?usp=sharing"",""ระนอง!J390"")"),0)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IFERROR(__xludf.DUMMYFUNCTION("IMPORTRANGE(""https://docs.google.com/spreadsheets/d/1IYY_tgx_IHuhSq3AJ5eI5OnqOPBNLWSHKh2a30DoXe8/edit?usp=sharing"",""ระนอง!I391"")"),0)</f>
        <v>0</v>
      </c>
      <c r="J496" s="442">
        <f ca="1">IFERROR(__xludf.DUMMYFUNCTION("IMPORTRANGE(""https://docs.google.com/spreadsheets/d/1IYY_tgx_IHuhSq3AJ5eI5OnqOPBNLWSHKh2a30DoXe8/edit?usp=sharing"",""ระนอง!J391"")"),0)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IFERROR(__xludf.DUMMYFUNCTION("IMPORTRANGE(""https://docs.google.com/spreadsheets/d/1IYY_tgx_IHuhSq3AJ5eI5OnqOPBNLWSHKh2a30DoXe8/edit?usp=sharing"",""ระนอง!I392"")"),563)</f>
        <v>563</v>
      </c>
      <c r="J497" s="449">
        <f ca="1">IFERROR(__xludf.DUMMYFUNCTION("IMPORTRANGE(""https://docs.google.com/spreadsheets/d/1IYY_tgx_IHuhSq3AJ5eI5OnqOPBNLWSHKh2a30DoXe8/edit?usp=sharing"",""ระนอง!J392"")"),360.11)</f>
        <v>360.11</v>
      </c>
      <c r="K497" s="450">
        <f t="shared" ca="1" si="117"/>
        <v>63.96269982238011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IFERROR(__xludf.DUMMYFUNCTION("IMPORTRANGE(""https://docs.google.com/spreadsheets/d/1IYY_tgx_IHuhSq3AJ5eI5OnqOPBNLWSHKh2a30DoXe8/edit?usp=sharing"",""ระนอง!I393"")"),563)</f>
        <v>563</v>
      </c>
      <c r="J498" s="426">
        <f ca="1">IFERROR(__xludf.DUMMYFUNCTION("IMPORTRANGE(""https://docs.google.com/spreadsheets/d/1IYY_tgx_IHuhSq3AJ5eI5OnqOPBNLWSHKh2a30DoXe8/edit?usp=sharing"",""ระนอง!J393"")"),360.11)</f>
        <v>360.11</v>
      </c>
      <c r="K498" s="208">
        <f t="shared" ca="1" si="117"/>
        <v>63.96269982238011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IFERROR(__xludf.DUMMYFUNCTION("IMPORTRANGE(""https://docs.google.com/spreadsheets/d/1IYY_tgx_IHuhSq3AJ5eI5OnqOPBNLWSHKh2a30DoXe8/edit?usp=sharing"",""ระนอง!I394"")"),72)</f>
        <v>72</v>
      </c>
      <c r="J499" s="426">
        <f ca="1">IFERROR(__xludf.DUMMYFUNCTION("IMPORTRANGE(""https://docs.google.com/spreadsheets/d/1IYY_tgx_IHuhSq3AJ5eI5OnqOPBNLWSHKh2a30DoXe8/edit?usp=sharing"",""ระนอง!J394"")"),44)</f>
        <v>44</v>
      </c>
      <c r="K499" s="208">
        <f t="shared" ca="1" si="117"/>
        <v>61.111111111111114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IFERROR(__xludf.DUMMYFUNCTION("IMPORTRANGE(""https://docs.google.com/spreadsheets/d/1IYY_tgx_IHuhSq3AJ5eI5OnqOPBNLWSHKh2a30DoXe8/edit?usp=sharing"",""ระนอง!I395"")"),0)</f>
        <v>0</v>
      </c>
      <c r="J500" s="166">
        <f ca="1">IFERROR(__xludf.DUMMYFUNCTION("IMPORTRANGE(""https://docs.google.com/spreadsheets/d/1IYY_tgx_IHuhSq3AJ5eI5OnqOPBNLWSHKh2a30DoXe8/edit?usp=sharing"",""ระนอง!J395"")"),345.22)</f>
        <v>345.22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IFERROR(__xludf.DUMMYFUNCTION("IMPORTRANGE(""https://docs.google.com/spreadsheets/d/1IYY_tgx_IHuhSq3AJ5eI5OnqOPBNLWSHKh2a30DoXe8/edit?usp=sharing"",""ระนอง!I396"")"),0)</f>
        <v>0</v>
      </c>
      <c r="J501" s="166">
        <f ca="1">IFERROR(__xludf.DUMMYFUNCTION("IMPORTRANGE(""https://docs.google.com/spreadsheets/d/1IYY_tgx_IHuhSq3AJ5eI5OnqOPBNLWSHKh2a30DoXe8/edit?usp=sharing"",""ระนอง!J396"")"),43)</f>
        <v>43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IFERROR(__xludf.DUMMYFUNCTION("IMPORTRANGE(""https://docs.google.com/spreadsheets/d/1IYY_tgx_IHuhSq3AJ5eI5OnqOPBNLWSHKh2a30DoXe8/edit?usp=sharing"",""ระนอง!I397"")"),0)</f>
        <v>0</v>
      </c>
      <c r="J502" s="195">
        <f ca="1">IFERROR(__xludf.DUMMYFUNCTION("IMPORTRANGE(""https://docs.google.com/spreadsheets/d/1IYY_tgx_IHuhSq3AJ5eI5OnqOPBNLWSHKh2a30DoXe8/edit?usp=sharing"",""ระนอง!J397"")"),181.55)</f>
        <v>181.55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IFERROR(__xludf.DUMMYFUNCTION("IMPORTRANGE(""https://docs.google.com/spreadsheets/d/1IYY_tgx_IHuhSq3AJ5eI5OnqOPBNLWSHKh2a30DoXe8/edit?usp=sharing"",""ระนอง!I398"")"),0)</f>
        <v>0</v>
      </c>
      <c r="J503" s="204">
        <f ca="1">IFERROR(__xludf.DUMMYFUNCTION("IMPORTRANGE(""https://docs.google.com/spreadsheets/d/1IYY_tgx_IHuhSq3AJ5eI5OnqOPBNLWSHKh2a30DoXe8/edit?usp=sharing"",""ระนอง!J398"")"),20)</f>
        <v>20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IFERROR(__xludf.DUMMYFUNCTION("IMPORTRANGE(""https://docs.google.com/spreadsheets/d/1IYY_tgx_IHuhSq3AJ5eI5OnqOPBNLWSHKh2a30DoXe8/edit?usp=sharing"",""ระนอง!I399"")"),0)</f>
        <v>0</v>
      </c>
      <c r="J504" s="195">
        <f ca="1">IFERROR(__xludf.DUMMYFUNCTION("IMPORTRANGE(""https://docs.google.com/spreadsheets/d/1IYY_tgx_IHuhSq3AJ5eI5OnqOPBNLWSHKh2a30DoXe8/edit?usp=sharing"",""ระนอง!J399"")"),163.67)</f>
        <v>163.66999999999999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IFERROR(__xludf.DUMMYFUNCTION("IMPORTRANGE(""https://docs.google.com/spreadsheets/d/1IYY_tgx_IHuhSq3AJ5eI5OnqOPBNLWSHKh2a30DoXe8/edit?usp=sharing"",""ระนอง!I400"")"),0)</f>
        <v>0</v>
      </c>
      <c r="J505" s="204">
        <f ca="1">IFERROR(__xludf.DUMMYFUNCTION("IMPORTRANGE(""https://docs.google.com/spreadsheets/d/1IYY_tgx_IHuhSq3AJ5eI5OnqOPBNLWSHKh2a30DoXe8/edit?usp=sharing"",""ระนอง!J400"")"),23)</f>
        <v>23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IFERROR(__xludf.DUMMYFUNCTION("IMPORTRANGE(""https://docs.google.com/spreadsheets/d/1IYY_tgx_IHuhSq3AJ5eI5OnqOPBNLWSHKh2a30DoXe8/edit?usp=sharing"",""ระนอง!I401"")"),0)</f>
        <v>0</v>
      </c>
      <c r="J506" s="195">
        <f ca="1">IFERROR(__xludf.DUMMYFUNCTION("IMPORTRANGE(""https://docs.google.com/spreadsheets/d/1IYY_tgx_IHuhSq3AJ5eI5OnqOPBNLWSHKh2a30DoXe8/edit?usp=sharing"",""ระนอง!J401"")"),0)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IFERROR(__xludf.DUMMYFUNCTION("IMPORTRANGE(""https://docs.google.com/spreadsheets/d/1IYY_tgx_IHuhSq3AJ5eI5OnqOPBNLWSHKh2a30DoXe8/edit?usp=sharing"",""ระนอง!I402"")"),0)</f>
        <v>0</v>
      </c>
      <c r="J507" s="204">
        <f ca="1">IFERROR(__xludf.DUMMYFUNCTION("IMPORTRANGE(""https://docs.google.com/spreadsheets/d/1IYY_tgx_IHuhSq3AJ5eI5OnqOPBNLWSHKh2a30DoXe8/edit?usp=sharing"",""ระนอง!J402"")"),0)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IFERROR(__xludf.DUMMYFUNCTION("IMPORTRANGE(""https://docs.google.com/spreadsheets/d/1IYY_tgx_IHuhSq3AJ5eI5OnqOPBNLWSHKh2a30DoXe8/edit?usp=sharing"",""ระนอง!I403"")"),0)</f>
        <v>0</v>
      </c>
      <c r="J508" s="166">
        <f ca="1">IFERROR(__xludf.DUMMYFUNCTION("IMPORTRANGE(""https://docs.google.com/spreadsheets/d/1IYY_tgx_IHuhSq3AJ5eI5OnqOPBNLWSHKh2a30DoXe8/edit?usp=sharing"",""ระนอง!J403"")"),14.89)</f>
        <v>14.89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IFERROR(__xludf.DUMMYFUNCTION("IMPORTRANGE(""https://docs.google.com/spreadsheets/d/1IYY_tgx_IHuhSq3AJ5eI5OnqOPBNLWSHKh2a30DoXe8/edit?usp=sharing"",""ระนอง!I404"")"),0)</f>
        <v>0</v>
      </c>
      <c r="J509" s="166">
        <f ca="1">IFERROR(__xludf.DUMMYFUNCTION("IMPORTRANGE(""https://docs.google.com/spreadsheets/d/1IYY_tgx_IHuhSq3AJ5eI5OnqOPBNLWSHKh2a30DoXe8/edit?usp=sharing"",""ระนอง!J404"")"),1)</f>
        <v>1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IFERROR(__xludf.DUMMYFUNCTION("IMPORTRANGE(""https://docs.google.com/spreadsheets/d/1IYY_tgx_IHuhSq3AJ5eI5OnqOPBNLWSHKh2a30DoXe8/edit?usp=sharing"",""ระนอง!I405"")"),0)</f>
        <v>0</v>
      </c>
      <c r="J510" s="204">
        <f ca="1">IFERROR(__xludf.DUMMYFUNCTION("IMPORTRANGE(""https://docs.google.com/spreadsheets/d/1IYY_tgx_IHuhSq3AJ5eI5OnqOPBNLWSHKh2a30DoXe8/edit?usp=sharing"",""ระนอง!J405"")"),0)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IFERROR(__xludf.DUMMYFUNCTION("IMPORTRANGE(""https://docs.google.com/spreadsheets/d/1IYY_tgx_IHuhSq3AJ5eI5OnqOPBNLWSHKh2a30DoXe8/edit?usp=sharing"",""ระนอง!I406"")"),0)</f>
        <v>0</v>
      </c>
      <c r="J511" s="204">
        <f ca="1">IFERROR(__xludf.DUMMYFUNCTION("IMPORTRANGE(""https://docs.google.com/spreadsheets/d/1IYY_tgx_IHuhSq3AJ5eI5OnqOPBNLWSHKh2a30DoXe8/edit?usp=sharing"",""ระนอง!J406"")"),0)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IFERROR(__xludf.DUMMYFUNCTION("IMPORTRANGE(""https://docs.google.com/spreadsheets/d/1IYY_tgx_IHuhSq3AJ5eI5OnqOPBNLWSHKh2a30DoXe8/edit?usp=sharing"",""ระนอง!I407"")"),0)</f>
        <v>0</v>
      </c>
      <c r="J512" s="204">
        <f ca="1">IFERROR(__xludf.DUMMYFUNCTION("IMPORTRANGE(""https://docs.google.com/spreadsheets/d/1IYY_tgx_IHuhSq3AJ5eI5OnqOPBNLWSHKh2a30DoXe8/edit?usp=sharing"",""ระนอง!J407"")"),14.89)</f>
        <v>14.89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IFERROR(__xludf.DUMMYFUNCTION("IMPORTRANGE(""https://docs.google.com/spreadsheets/d/1IYY_tgx_IHuhSq3AJ5eI5OnqOPBNLWSHKh2a30DoXe8/edit?usp=sharing"",""ระนอง!I408"")"),0)</f>
        <v>0</v>
      </c>
      <c r="J513" s="204">
        <f ca="1">IFERROR(__xludf.DUMMYFUNCTION("IMPORTRANGE(""https://docs.google.com/spreadsheets/d/1IYY_tgx_IHuhSq3AJ5eI5OnqOPBNLWSHKh2a30DoXe8/edit?usp=sharing"",""ระนอง!J408"")"),1)</f>
        <v>1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IFERROR(__xludf.DUMMYFUNCTION("IMPORTRANGE(""https://docs.google.com/spreadsheets/d/1IYY_tgx_IHuhSq3AJ5eI5OnqOPBNLWSHKh2a30DoXe8/edit?usp=sharing"",""ระนอง!I409"")"),0)</f>
        <v>0</v>
      </c>
      <c r="J514" s="204">
        <f ca="1">IFERROR(__xludf.DUMMYFUNCTION("IMPORTRANGE(""https://docs.google.com/spreadsheets/d/1IYY_tgx_IHuhSq3AJ5eI5OnqOPBNLWSHKh2a30DoXe8/edit?usp=sharing"",""ระนอง!J409"")"),0)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IFERROR(__xludf.DUMMYFUNCTION("IMPORTRANGE(""https://docs.google.com/spreadsheets/d/1IYY_tgx_IHuhSq3AJ5eI5OnqOPBNLWSHKh2a30DoXe8/edit?usp=sharing"",""ระนอง!I410"")"),0)</f>
        <v>0</v>
      </c>
      <c r="J515" s="204">
        <f ca="1">IFERROR(__xludf.DUMMYFUNCTION("IMPORTRANGE(""https://docs.google.com/spreadsheets/d/1IYY_tgx_IHuhSq3AJ5eI5OnqOPBNLWSHKh2a30DoXe8/edit?usp=sharing"",""ระนอง!J410"")"),0)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IFERROR(__xludf.DUMMYFUNCTION("IMPORTRANGE(""https://docs.google.com/spreadsheets/d/1IYY_tgx_IHuhSq3AJ5eI5OnqOPBNLWSHKh2a30DoXe8/edit?usp=sharing"",""ระนอง!I411"")"),0)</f>
        <v>0</v>
      </c>
      <c r="J516" s="273">
        <f ca="1">IFERROR(__xludf.DUMMYFUNCTION("IMPORTRANGE(""https://docs.google.com/spreadsheets/d/1IYY_tgx_IHuhSq3AJ5eI5OnqOPBNLWSHKh2a30DoXe8/edit?usp=sharing"",""ระนอง!J411"")"),0)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IFERROR(__xludf.DUMMYFUNCTION("IMPORTRANGE(""https://docs.google.com/spreadsheets/d/1IYY_tgx_IHuhSq3AJ5eI5OnqOPBNLWSHKh2a30DoXe8/edit?usp=sharing"",""ระนอง!I412"")"),0)</f>
        <v>0</v>
      </c>
      <c r="J517" s="290">
        <f ca="1">IFERROR(__xludf.DUMMYFUNCTION("IMPORTRANGE(""https://docs.google.com/spreadsheets/d/1IYY_tgx_IHuhSq3AJ5eI5OnqOPBNLWSHKh2a30DoXe8/edit?usp=sharing"",""ระนอง!J412"")"),0)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IFERROR(__xludf.DUMMYFUNCTION("IMPORTRANGE(""https://docs.google.com/spreadsheets/d/1IYY_tgx_IHuhSq3AJ5eI5OnqOPBNLWSHKh2a30DoXe8/edit?usp=sharing"",""ระนอง!I413"")"),0)</f>
        <v>0</v>
      </c>
      <c r="J518" s="290">
        <f ca="1">IFERROR(__xludf.DUMMYFUNCTION("IMPORTRANGE(""https://docs.google.com/spreadsheets/d/1IYY_tgx_IHuhSq3AJ5eI5OnqOPBNLWSHKh2a30DoXe8/edit?usp=sharing"",""ระนอง!J413"")"),0)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IFERROR(__xludf.DUMMYFUNCTION("IMPORTRANGE(""https://docs.google.com/spreadsheets/d/1IYY_tgx_IHuhSq3AJ5eI5OnqOPBNLWSHKh2a30DoXe8/edit?usp=sharing"",""ระนอง!I414"")"),0)</f>
        <v>0</v>
      </c>
      <c r="J519" s="194">
        <f ca="1">IFERROR(__xludf.DUMMYFUNCTION("IMPORTRANGE(""https://docs.google.com/spreadsheets/d/1IYY_tgx_IHuhSq3AJ5eI5OnqOPBNLWSHKh2a30DoXe8/edit?usp=sharing"",""ระนอง!J414"")"),0)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IFERROR(__xludf.DUMMYFUNCTION("IMPORTRANGE(""https://docs.google.com/spreadsheets/d/1IYY_tgx_IHuhSq3AJ5eI5OnqOPBNLWSHKh2a30DoXe8/edit?usp=sharing"",""ระนอง!I415"")"),0)</f>
        <v>0</v>
      </c>
      <c r="J520" s="194">
        <f ca="1">IFERROR(__xludf.DUMMYFUNCTION("IMPORTRANGE(""https://docs.google.com/spreadsheets/d/1IYY_tgx_IHuhSq3AJ5eI5OnqOPBNLWSHKh2a30DoXe8/edit?usp=sharing"",""ระนอง!J415"")"),0)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IFERROR(__xludf.DUMMYFUNCTION("IMPORTRANGE(""https://docs.google.com/spreadsheets/d/1IYY_tgx_IHuhSq3AJ5eI5OnqOPBNLWSHKh2a30DoXe8/edit?usp=sharing"",""ระนอง!I416"")"),0)</f>
        <v>0</v>
      </c>
      <c r="J521" s="194">
        <f ca="1">IFERROR(__xludf.DUMMYFUNCTION("IMPORTRANGE(""https://docs.google.com/spreadsheets/d/1IYY_tgx_IHuhSq3AJ5eI5OnqOPBNLWSHKh2a30DoXe8/edit?usp=sharing"",""ระนอง!J416"")"),0)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IFERROR(__xludf.DUMMYFUNCTION("IMPORTRANGE(""https://docs.google.com/spreadsheets/d/1IYY_tgx_IHuhSq3AJ5eI5OnqOPBNLWSHKh2a30DoXe8/edit?usp=sharing"",""ระนอง!I417"")"),0)</f>
        <v>0</v>
      </c>
      <c r="J522" s="194">
        <f ca="1">IFERROR(__xludf.DUMMYFUNCTION("IMPORTRANGE(""https://docs.google.com/spreadsheets/d/1IYY_tgx_IHuhSq3AJ5eI5OnqOPBNLWSHKh2a30DoXe8/edit?usp=sharing"",""ระนอง!J417"")"),0)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IFERROR(__xludf.DUMMYFUNCTION("IMPORTRANGE(""https://docs.google.com/spreadsheets/d/1IYY_tgx_IHuhSq3AJ5eI5OnqOPBNLWSHKh2a30DoXe8/edit?usp=sharing"",""ระนอง!I418"")"),0)</f>
        <v>0</v>
      </c>
      <c r="J523" s="194">
        <f ca="1">IFERROR(__xludf.DUMMYFUNCTION("IMPORTRANGE(""https://docs.google.com/spreadsheets/d/1IYY_tgx_IHuhSq3AJ5eI5OnqOPBNLWSHKh2a30DoXe8/edit?usp=sharing"",""ระนอง!J418"")"),0)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IFERROR(__xludf.DUMMYFUNCTION("IMPORTRANGE(""https://docs.google.com/spreadsheets/d/1IYY_tgx_IHuhSq3AJ5eI5OnqOPBNLWSHKh2a30DoXe8/edit?usp=sharing"",""ระนอง!I419"")"),0)</f>
        <v>0</v>
      </c>
      <c r="J524" s="194">
        <f ca="1">IFERROR(__xludf.DUMMYFUNCTION("IMPORTRANGE(""https://docs.google.com/spreadsheets/d/1IYY_tgx_IHuhSq3AJ5eI5OnqOPBNLWSHKh2a30DoXe8/edit?usp=sharing"",""ระนอง!J419"")"),0)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IFERROR(__xludf.DUMMYFUNCTION("IMPORTRANGE(""https://docs.google.com/spreadsheets/d/1IYY_tgx_IHuhSq3AJ5eI5OnqOPBNLWSHKh2a30DoXe8/edit?usp=sharing"",""ระนอง!I420"")"),0)</f>
        <v>0</v>
      </c>
      <c r="J525" s="290">
        <f ca="1">IFERROR(__xludf.DUMMYFUNCTION("IMPORTRANGE(""https://docs.google.com/spreadsheets/d/1IYY_tgx_IHuhSq3AJ5eI5OnqOPBNLWSHKh2a30DoXe8/edit?usp=sharing"",""ระนอง!J420"")"),0)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IFERROR(__xludf.DUMMYFUNCTION("IMPORTRANGE(""https://docs.google.com/spreadsheets/d/1IYY_tgx_IHuhSq3AJ5eI5OnqOPBNLWSHKh2a30DoXe8/edit?usp=sharing"",""ระนอง!I421"")"),0)</f>
        <v>0</v>
      </c>
      <c r="J526" s="290">
        <f ca="1">IFERROR(__xludf.DUMMYFUNCTION("IMPORTRANGE(""https://docs.google.com/spreadsheets/d/1IYY_tgx_IHuhSq3AJ5eI5OnqOPBNLWSHKh2a30DoXe8/edit?usp=sharing"",""ระนอง!J421"")"),0)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IFERROR(__xludf.DUMMYFUNCTION("IMPORTRANGE(""https://docs.google.com/spreadsheets/d/1IYY_tgx_IHuhSq3AJ5eI5OnqOPBNLWSHKh2a30DoXe8/edit?usp=sharing"",""ระนอง!I422"")"),0)</f>
        <v>0</v>
      </c>
      <c r="J527" s="204">
        <f ca="1">IFERROR(__xludf.DUMMYFUNCTION("IMPORTRANGE(""https://docs.google.com/spreadsheets/d/1IYY_tgx_IHuhSq3AJ5eI5OnqOPBNLWSHKh2a30DoXe8/edit?usp=sharing"",""ระนอง!J422"")"),0)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IFERROR(__xludf.DUMMYFUNCTION("IMPORTRANGE(""https://docs.google.com/spreadsheets/d/1IYY_tgx_IHuhSq3AJ5eI5OnqOPBNLWSHKh2a30DoXe8/edit?usp=sharing"",""ระนอง!I423"")"),0)</f>
        <v>0</v>
      </c>
      <c r="J528" s="204">
        <f ca="1">IFERROR(__xludf.DUMMYFUNCTION("IMPORTRANGE(""https://docs.google.com/spreadsheets/d/1IYY_tgx_IHuhSq3AJ5eI5OnqOPBNLWSHKh2a30DoXe8/edit?usp=sharing"",""ระนอง!J423"")"),0)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IFERROR(__xludf.DUMMYFUNCTION("IMPORTRANGE(""https://docs.google.com/spreadsheets/d/1IYY_tgx_IHuhSq3AJ5eI5OnqOPBNLWSHKh2a30DoXe8/edit?usp=sharing"",""ระนอง!I424"")"),0)</f>
        <v>0</v>
      </c>
      <c r="J529" s="204">
        <f ca="1">IFERROR(__xludf.DUMMYFUNCTION("IMPORTRANGE(""https://docs.google.com/spreadsheets/d/1IYY_tgx_IHuhSq3AJ5eI5OnqOPBNLWSHKh2a30DoXe8/edit?usp=sharing"",""ระนอง!J424"")"),0)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IFERROR(__xludf.DUMMYFUNCTION("IMPORTRANGE(""https://docs.google.com/spreadsheets/d/1IYY_tgx_IHuhSq3AJ5eI5OnqOPBNLWSHKh2a30DoXe8/edit?usp=sharing"",""ระนอง!I425"")"),0)</f>
        <v>0</v>
      </c>
      <c r="J530" s="204">
        <f ca="1">IFERROR(__xludf.DUMMYFUNCTION("IMPORTRANGE(""https://docs.google.com/spreadsheets/d/1IYY_tgx_IHuhSq3AJ5eI5OnqOPBNLWSHKh2a30DoXe8/edit?usp=sharing"",""ระนอง!J425"")"),0)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IFERROR(__xludf.DUMMYFUNCTION("IMPORTRANGE(""https://docs.google.com/spreadsheets/d/1IYY_tgx_IHuhSq3AJ5eI5OnqOPBNLWSHKh2a30DoXe8/edit?usp=sharing"",""ระนอง!I426"")"),0)</f>
        <v>0</v>
      </c>
      <c r="J531" s="204">
        <f ca="1">IFERROR(__xludf.DUMMYFUNCTION("IMPORTRANGE(""https://docs.google.com/spreadsheets/d/1IYY_tgx_IHuhSq3AJ5eI5OnqOPBNLWSHKh2a30DoXe8/edit?usp=sharing"",""ระนอง!J426"")"),0)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IFERROR(__xludf.DUMMYFUNCTION("IMPORTRANGE(""https://docs.google.com/spreadsheets/d/1IYY_tgx_IHuhSq3AJ5eI5OnqOPBNLWSHKh2a30DoXe8/edit?usp=sharing"",""ระนอง!I427"")"),0)</f>
        <v>0</v>
      </c>
      <c r="J532" s="472">
        <f ca="1">IFERROR(__xludf.DUMMYFUNCTION("IMPORTRANGE(""https://docs.google.com/spreadsheets/d/1IYY_tgx_IHuhSq3AJ5eI5OnqOPBNLWSHKh2a30DoXe8/edit?usp=sharing"",""ระนอง!J427"")"),0)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IFERROR(__xludf.DUMMYFUNCTION("IMPORTRANGE(""https://docs.google.com/spreadsheets/d/1IYY_tgx_IHuhSq3AJ5eI5OnqOPBNLWSHKh2a30DoXe8/edit?usp=sharing"",""ระนอง!I428"")"),20)</f>
        <v>20</v>
      </c>
      <c r="J533" s="416">
        <f ca="1">IFERROR(__xludf.DUMMYFUNCTION("IMPORTRANGE(""https://docs.google.com/spreadsheets/d/1IYY_tgx_IHuhSq3AJ5eI5OnqOPBNLWSHKh2a30DoXe8/edit?usp=sharing"",""ระนอง!J428"")"),20)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IFERROR(__xludf.DUMMYFUNCTION("IMPORTRANGE(""https://docs.google.com/spreadsheets/d/1IYY_tgx_IHuhSq3AJ5eI5OnqOPBNLWSHKh2a30DoXe8/edit?usp=sharing"",""ระนอง!L428"")"),32640)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IFERROR(__xludf.DUMMYFUNCTION("IMPORTRANGE(""https://docs.google.com/spreadsheets/d/1IYY_tgx_IHuhSq3AJ5eI5OnqOPBNLWSHKh2a30DoXe8/edit?usp=sharing"",""ระนอง!M428"")"),29040)</f>
        <v>29040</v>
      </c>
      <c r="O533" s="418">
        <f t="shared" ref="O533:O537" ca="1" si="118">+IF(L533&gt;0,N533*100/L533,0)</f>
        <v>88.970588235294116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IFERROR(__xludf.DUMMYFUNCTION("IMPORTRANGE(""https://docs.google.com/spreadsheets/d/1IYY_tgx_IHuhSq3AJ5eI5OnqOPBNLWSHKh2a30DoXe8/edit?usp=sharing"",""ระนอง!L429"")"),0)</f>
        <v>0</v>
      </c>
      <c r="M534" s="168"/>
      <c r="N534" s="175">
        <f ca="1">IFERROR(__xludf.DUMMYFUNCTION("IMPORTRANGE(""https://docs.google.com/spreadsheets/d/1IYY_tgx_IHuhSq3AJ5eI5OnqOPBNLWSHKh2a30DoXe8/edit?usp=sharing"",""ระนอง!M429"")"),0)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IFERROR(__xludf.DUMMYFUNCTION("IMPORTRANGE(""https://docs.google.com/spreadsheets/d/1IYY_tgx_IHuhSq3AJ5eI5OnqOPBNLWSHKh2a30DoXe8/edit?usp=sharing"",""ระนอง!L430"")"),32640)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IFERROR(__xludf.DUMMYFUNCTION("IMPORTRANGE(""https://docs.google.com/spreadsheets/d/1IYY_tgx_IHuhSq3AJ5eI5OnqOPBNLWSHKh2a30DoXe8/edit?usp=sharing"",""ระนอง!M430"")"),29040)</f>
        <v>29040</v>
      </c>
      <c r="O535" s="175">
        <f t="shared" ca="1" si="118"/>
        <v>88.970588235294116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IFERROR(__xludf.DUMMYFUNCTION("IMPORTRANGE(""https://docs.google.com/spreadsheets/d/1IYY_tgx_IHuhSq3AJ5eI5OnqOPBNLWSHKh2a30DoXe8/edit?usp=sharing"",""ระนอง!L431"")"),0)</f>
        <v>0</v>
      </c>
      <c r="M536" s="175"/>
      <c r="N536" s="175">
        <f ca="1">IFERROR(__xludf.DUMMYFUNCTION("IMPORTRANGE(""https://docs.google.com/spreadsheets/d/1IYY_tgx_IHuhSq3AJ5eI5OnqOPBNLWSHKh2a30DoXe8/edit?usp=sharing"",""ระนอง!M431"")"),0)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IFERROR(__xludf.DUMMYFUNCTION("IMPORTRANGE(""https://docs.google.com/spreadsheets/d/1IYY_tgx_IHuhSq3AJ5eI5OnqOPBNLWSHKh2a30DoXe8/edit?usp=sharing"",""ระนอง!L432"")"),32640)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IFERROR(__xludf.DUMMYFUNCTION("IMPORTRANGE(""https://docs.google.com/spreadsheets/d/1IYY_tgx_IHuhSq3AJ5eI5OnqOPBNLWSHKh2a30DoXe8/edit?usp=sharing"",""ระนอง!M432"")"),29040)</f>
        <v>29040</v>
      </c>
      <c r="O537" s="175">
        <f t="shared" ca="1" si="118"/>
        <v>88.970588235294116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IFERROR(__xludf.DUMMYFUNCTION("IMPORTRANGE(""https://docs.google.com/spreadsheets/d/1IYY_tgx_IHuhSq3AJ5eI5OnqOPBNLWSHKh2a30DoXe8/edit?usp=sharing"",""ระนอง!M433"")"),12300)</f>
        <v>12300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IFERROR(__xludf.DUMMYFUNCTION("IMPORTRANGE(""https://docs.google.com/spreadsheets/d/1IYY_tgx_IHuhSq3AJ5eI5OnqOPBNLWSHKh2a30DoXe8/edit?usp=sharing"",""ระนอง!M434"")"),0)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IFERROR(__xludf.DUMMYFUNCTION("IMPORTRANGE(""https://docs.google.com/spreadsheets/d/1IYY_tgx_IHuhSq3AJ5eI5OnqOPBNLWSHKh2a30DoXe8/edit?usp=sharing"",""ระนอง!M435"")"),0)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IFERROR(__xludf.DUMMYFUNCTION("IMPORTRANGE(""https://docs.google.com/spreadsheets/d/1IYY_tgx_IHuhSq3AJ5eI5OnqOPBNLWSHKh2a30DoXe8/edit?usp=sharing"",""ระนอง!M436"")"),16740)</f>
        <v>16740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IFERROR(__xludf.DUMMYFUNCTION("IMPORTRANGE(""https://docs.google.com/spreadsheets/d/1IYY_tgx_IHuhSq3AJ5eI5OnqOPBNLWSHKh2a30DoXe8/edit?usp=sharing"",""ระนอง!J438"")"),0)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IFERROR(__xludf.DUMMYFUNCTION("IMPORTRANGE(""https://docs.google.com/spreadsheets/d/1IYY_tgx_IHuhSq3AJ5eI5OnqOPBNLWSHKh2a30DoXe8/edit?usp=sharing"",""ระนอง!J439"")"),1)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IFERROR(__xludf.DUMMYFUNCTION("IMPORTRANGE(""https://docs.google.com/spreadsheets/d/1IYY_tgx_IHuhSq3AJ5eI5OnqOPBNLWSHKh2a30DoXe8/edit?usp=sharing"",""ระนอง!J440"")"),1)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IFERROR(__xludf.DUMMYFUNCTION("IMPORTRANGE(""https://docs.google.com/spreadsheets/d/1IYY_tgx_IHuhSq3AJ5eI5OnqOPBNLWSHKh2a30DoXe8/edit?usp=sharing"",""ระนอง!J441"")"),1)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IFERROR(__xludf.DUMMYFUNCTION("IMPORTRANGE(""https://docs.google.com/spreadsheets/d/1IYY_tgx_IHuhSq3AJ5eI5OnqOPBNLWSHKh2a30DoXe8/edit?usp=sharing"",""ระนอง!I442"")"),20)</f>
        <v>20</v>
      </c>
      <c r="J547" s="195">
        <f ca="1">IFERROR(__xludf.DUMMYFUNCTION("IMPORTRANGE(""https://docs.google.com/spreadsheets/d/1IYY_tgx_IHuhSq3AJ5eI5OnqOPBNLWSHKh2a30DoXe8/edit?usp=sharing"",""ระนอง!J442"")"),20)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IFERROR(__xludf.DUMMYFUNCTION("IMPORTRANGE(""https://docs.google.com/spreadsheets/d/1IYY_tgx_IHuhSq3AJ5eI5OnqOPBNLWSHKh2a30DoXe8/edit?usp=sharing"",""ระนอง!J166"")"),0)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IFERROR(__xludf.DUMMYFUNCTION("IMPORTRANGE(""https://docs.google.com/spreadsheets/d/1IYY_tgx_IHuhSq3AJ5eI5OnqOPBNLWSHKh2a30DoXe8/edit?usp=sharing"",""ระนอง!J444"")"),0)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IFERROR(__xludf.DUMMYFUNCTION("IMPORTRANGE(""https://docs.google.com/spreadsheets/d/1IYY_tgx_IHuhSq3AJ5eI5OnqOPBNLWSHKh2a30DoXe8/edit?usp=sharing"",""ระนอง!J445"")"),0)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IFERROR(__xludf.DUMMYFUNCTION("IMPORTRANGE(""https://docs.google.com/spreadsheets/d/1IYY_tgx_IHuhSq3AJ5eI5OnqOPBNLWSHKh2a30DoXe8/edit?usp=sharing"",""ระนอง!I446"")"),0)</f>
        <v>0</v>
      </c>
      <c r="J551" s="416">
        <f ca="1">IFERROR(__xludf.DUMMYFUNCTION("IMPORTRANGE(""https://docs.google.com/spreadsheets/d/1IYY_tgx_IHuhSq3AJ5eI5OnqOPBNLWSHKh2a30DoXe8/edit?usp=sharing"",""ระนอง!J446"")"),0)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IFERROR(__xludf.DUMMYFUNCTION("IMPORTRANGE(""https://docs.google.com/spreadsheets/d/1IYY_tgx_IHuhSq3AJ5eI5OnqOPBNLWSHKh2a30DoXe8/edit?usp=sharing"",""ระนอง!L446"")"),0)</f>
        <v>0</v>
      </c>
      <c r="M551" s="418"/>
      <c r="N551" s="418">
        <f ca="1">IFERROR(__xludf.DUMMYFUNCTION("IMPORTRANGE(""https://docs.google.com/spreadsheets/d/1IYY_tgx_IHuhSq3AJ5eI5OnqOPBNLWSHKh2a30DoXe8/edit?usp=sharing"",""ระนอง!M446"")"),0)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IFERROR(__xludf.DUMMYFUNCTION("IMPORTRANGE(""https://docs.google.com/spreadsheets/d/1IYY_tgx_IHuhSq3AJ5eI5OnqOPBNLWSHKh2a30DoXe8/edit?usp=sharing"",""ระนอง!L447"")"),0)</f>
        <v>0</v>
      </c>
      <c r="M552" s="168"/>
      <c r="N552" s="175">
        <f ca="1">IFERROR(__xludf.DUMMYFUNCTION("IMPORTRANGE(""https://docs.google.com/spreadsheets/d/1IYY_tgx_IHuhSq3AJ5eI5OnqOPBNLWSHKh2a30DoXe8/edit?usp=sharing"",""ระนอง!M447"")"),0)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IFERROR(__xludf.DUMMYFUNCTION("IMPORTRANGE(""https://docs.google.com/spreadsheets/d/1IYY_tgx_IHuhSq3AJ5eI5OnqOPBNLWSHKh2a30DoXe8/edit?usp=sharing"",""ระนอง!L448"")"),0)</f>
        <v>0</v>
      </c>
      <c r="M553" s="169"/>
      <c r="N553" s="175">
        <f ca="1">IFERROR(__xludf.DUMMYFUNCTION("IMPORTRANGE(""https://docs.google.com/spreadsheets/d/1IYY_tgx_IHuhSq3AJ5eI5OnqOPBNLWSHKh2a30DoXe8/edit?usp=sharing"",""ระนอง!M448"")"),0)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IFERROR(__xludf.DUMMYFUNCTION("IMPORTRANGE(""https://docs.google.com/spreadsheets/d/1IYY_tgx_IHuhSq3AJ5eI5OnqOPBNLWSHKh2a30DoXe8/edit?usp=sharing"",""ระนอง!L449"")"),0)</f>
        <v>0</v>
      </c>
      <c r="M554" s="175"/>
      <c r="N554" s="175">
        <f ca="1">IFERROR(__xludf.DUMMYFUNCTION("IMPORTRANGE(""https://docs.google.com/spreadsheets/d/1IYY_tgx_IHuhSq3AJ5eI5OnqOPBNLWSHKh2a30DoXe8/edit?usp=sharing"",""ระนอง!M449"")"),0)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IFERROR(__xludf.DUMMYFUNCTION("IMPORTRANGE(""https://docs.google.com/spreadsheets/d/1IYY_tgx_IHuhSq3AJ5eI5OnqOPBNLWSHKh2a30DoXe8/edit?usp=sharing"",""ระนอง!L450"")"),0)</f>
        <v>0</v>
      </c>
      <c r="M555" s="175"/>
      <c r="N555" s="175">
        <f ca="1">IFERROR(__xludf.DUMMYFUNCTION("IMPORTRANGE(""https://docs.google.com/spreadsheets/d/1IYY_tgx_IHuhSq3AJ5eI5OnqOPBNLWSHKh2a30DoXe8/edit?usp=sharing"",""ระนอง!M450"")"),0)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IFERROR(__xludf.DUMMYFUNCTION("IMPORTRANGE(""https://docs.google.com/spreadsheets/d/1IYY_tgx_IHuhSq3AJ5eI5OnqOPBNLWSHKh2a30DoXe8/edit?usp=sharing"",""ระนอง!M451"")"),0)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IFERROR(__xludf.DUMMYFUNCTION("IMPORTRANGE(""https://docs.google.com/spreadsheets/d/1IYY_tgx_IHuhSq3AJ5eI5OnqOPBNLWSHKh2a30DoXe8/edit?usp=sharing"",""ระนอง!M452"")"),0)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IFERROR(__xludf.DUMMYFUNCTION("IMPORTRANGE(""https://docs.google.com/spreadsheets/d/1IYY_tgx_IHuhSq3AJ5eI5OnqOPBNLWSHKh2a30DoXe8/edit?usp=sharing"",""ระนอง!M453"")"),0)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IFERROR(__xludf.DUMMYFUNCTION("IMPORTRANGE(""https://docs.google.com/spreadsheets/d/1IYY_tgx_IHuhSq3AJ5eI5OnqOPBNLWSHKh2a30DoXe8/edit?usp=sharing"",""ระนอง!M454"")"),0)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IFERROR(__xludf.DUMMYFUNCTION("IMPORTRANGE(""https://docs.google.com/spreadsheets/d/1IYY_tgx_IHuhSq3AJ5eI5OnqOPBNLWSHKh2a30DoXe8/edit?usp=sharing"",""ระนอง!I455"")"),0)</f>
        <v>0</v>
      </c>
      <c r="J560" s="166">
        <f ca="1">IFERROR(__xludf.DUMMYFUNCTION("IMPORTRANGE(""https://docs.google.com/spreadsheets/d/1IYY_tgx_IHuhSq3AJ5eI5OnqOPBNLWSHKh2a30DoXe8/edit?usp=sharing"",""ระนอง!J455"")"),0)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IFERROR(__xludf.DUMMYFUNCTION("IMPORTRANGE(""https://docs.google.com/spreadsheets/d/1IYY_tgx_IHuhSq3AJ5eI5OnqOPBNLWSHKh2a30DoXe8/edit?usp=sharing"",""ระนอง!I456"")"),0)</f>
        <v>0</v>
      </c>
      <c r="J561" s="210">
        <f ca="1">IFERROR(__xludf.DUMMYFUNCTION("IMPORTRANGE(""https://docs.google.com/spreadsheets/d/1IYY_tgx_IHuhSq3AJ5eI5OnqOPBNLWSHKh2a30DoXe8/edit?usp=sharing"",""ระนอง!J456"")"),0)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IFERROR(__xludf.DUMMYFUNCTION("IMPORTRANGE(""https://docs.google.com/spreadsheets/d/1IYY_tgx_IHuhSq3AJ5eI5OnqOPBNLWSHKh2a30DoXe8/edit?usp=sharing"",""ระนอง!I459"")"),400)</f>
        <v>400</v>
      </c>
      <c r="J564" s="377">
        <f ca="1">IFERROR(__xludf.DUMMYFUNCTION("IMPORTRANGE(""https://docs.google.com/spreadsheets/d/1IYY_tgx_IHuhSq3AJ5eI5OnqOPBNLWSHKh2a30DoXe8/edit?usp=sharing"",""ระนอง!J459"")"),486)</f>
        <v>486</v>
      </c>
      <c r="K564" s="378">
        <f ca="1">IF(I564&gt;0,J564*100/I564,0)</f>
        <v>121.5</v>
      </c>
      <c r="L564" s="379">
        <f ca="1">IFERROR(__xludf.DUMMYFUNCTION("IMPORTRANGE(""https://docs.google.com/spreadsheets/d/1IYY_tgx_IHuhSq3AJ5eI5OnqOPBNLWSHKh2a30DoXe8/edit?usp=sharing"",""ระนอง!L459"")"),125680)</f>
        <v>125680</v>
      </c>
      <c r="M564" s="379"/>
      <c r="N564" s="379">
        <f ca="1">IFERROR(__xludf.DUMMYFUNCTION("IMPORTRANGE(""https://docs.google.com/spreadsheets/d/1IYY_tgx_IHuhSq3AJ5eI5OnqOPBNLWSHKh2a30DoXe8/edit?usp=sharing"",""ระนอง!M459"")"),69772)</f>
        <v>69772</v>
      </c>
      <c r="O564" s="379">
        <f t="shared" ref="O564:O568" ca="1" si="122">+IF(L564&gt;0,N564*100/L564,0)</f>
        <v>55.515595162316998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IFERROR(__xludf.DUMMYFUNCTION("IMPORTRANGE(""https://docs.google.com/spreadsheets/d/1IYY_tgx_IHuhSq3AJ5eI5OnqOPBNLWSHKh2a30DoXe8/edit?usp=sharing"",""ระนอง!L460"")"),0)</f>
        <v>0</v>
      </c>
      <c r="M565" s="168"/>
      <c r="N565" s="175">
        <f ca="1">IFERROR(__xludf.DUMMYFUNCTION("IMPORTRANGE(""https://docs.google.com/spreadsheets/d/1IYY_tgx_IHuhSq3AJ5eI5OnqOPBNLWSHKh2a30DoXe8/edit?usp=sharing"",""ระนอง!M460"")"),0)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IFERROR(__xludf.DUMMYFUNCTION("IMPORTRANGE(""https://docs.google.com/spreadsheets/d/1IYY_tgx_IHuhSq3AJ5eI5OnqOPBNLWSHKh2a30DoXe8/edit?usp=sharing"",""ระนอง!L461"")"),125680)</f>
        <v>125680</v>
      </c>
      <c r="M566" s="169"/>
      <c r="N566" s="175">
        <f ca="1">IFERROR(__xludf.DUMMYFUNCTION("IMPORTRANGE(""https://docs.google.com/spreadsheets/d/1IYY_tgx_IHuhSq3AJ5eI5OnqOPBNLWSHKh2a30DoXe8/edit?usp=sharing"",""ระนอง!M461"")"),69772)</f>
        <v>69772</v>
      </c>
      <c r="O566" s="175">
        <f t="shared" ca="1" si="122"/>
        <v>55.515595162316998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IFERROR(__xludf.DUMMYFUNCTION("IMPORTRANGE(""https://docs.google.com/spreadsheets/d/1IYY_tgx_IHuhSq3AJ5eI5OnqOPBNLWSHKh2a30DoXe8/edit?usp=sharing"",""ระนอง!L462"")"),0)</f>
        <v>0</v>
      </c>
      <c r="M567" s="175"/>
      <c r="N567" s="175">
        <f ca="1">IFERROR(__xludf.DUMMYFUNCTION("IMPORTRANGE(""https://docs.google.com/spreadsheets/d/1IYY_tgx_IHuhSq3AJ5eI5OnqOPBNLWSHKh2a30DoXe8/edit?usp=sharing"",""ระนอง!M462"")"),0)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IFERROR(__xludf.DUMMYFUNCTION("IMPORTRANGE(""https://docs.google.com/spreadsheets/d/1IYY_tgx_IHuhSq3AJ5eI5OnqOPBNLWSHKh2a30DoXe8/edit?usp=sharing"",""ระนอง!L463"")"),125680)</f>
        <v>125680</v>
      </c>
      <c r="M568" s="175"/>
      <c r="N568" s="175">
        <f ca="1">IFERROR(__xludf.DUMMYFUNCTION("IMPORTRANGE(""https://docs.google.com/spreadsheets/d/1IYY_tgx_IHuhSq3AJ5eI5OnqOPBNLWSHKh2a30DoXe8/edit?usp=sharing"",""ระนอง!M463"")"),69772)</f>
        <v>69772</v>
      </c>
      <c r="O568" s="175">
        <f t="shared" ca="1" si="122"/>
        <v>55.515595162316998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IFERROR(__xludf.DUMMYFUNCTION("IMPORTRANGE(""https://docs.google.com/spreadsheets/d/1IYY_tgx_IHuhSq3AJ5eI5OnqOPBNLWSHKh2a30DoXe8/edit?usp=sharing"",""ระนอง!M464"")"),0)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IFERROR(__xludf.DUMMYFUNCTION("IMPORTRANGE(""https://docs.google.com/spreadsheets/d/1IYY_tgx_IHuhSq3AJ5eI5OnqOPBNLWSHKh2a30DoXe8/edit?usp=sharing"",""ระนอง!M465"")"),0)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IFERROR(__xludf.DUMMYFUNCTION("IMPORTRANGE(""https://docs.google.com/spreadsheets/d/1IYY_tgx_IHuhSq3AJ5eI5OnqOPBNLWSHKh2a30DoXe8/edit?usp=sharing"",""ระนอง!M466"")"),53532)</f>
        <v>53532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IFERROR(__xludf.DUMMYFUNCTION("IMPORTRANGE(""https://docs.google.com/spreadsheets/d/1IYY_tgx_IHuhSq3AJ5eI5OnqOPBNLWSHKh2a30DoXe8/edit?usp=sharing"",""ระนอง!M467"")"),16240)</f>
        <v>16240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IFERROR(__xludf.DUMMYFUNCTION("IMPORTRANGE(""https://docs.google.com/spreadsheets/d/1IYY_tgx_IHuhSq3AJ5eI5OnqOPBNLWSHKh2a30DoXe8/edit?usp=sharing"",""ระนอง!I468"")"),400)</f>
        <v>400</v>
      </c>
      <c r="J573" s="426">
        <f ca="1">IFERROR(__xludf.DUMMYFUNCTION("IMPORTRANGE(""https://docs.google.com/spreadsheets/d/1IYY_tgx_IHuhSq3AJ5eI5OnqOPBNLWSHKh2a30DoXe8/edit?usp=sharing"",""ระนอง!J468"")"),486)</f>
        <v>486</v>
      </c>
      <c r="K573" s="208">
        <f ca="1">IF(I573&gt;0,J573*100/I573,0)</f>
        <v>121.5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IFERROR(__xludf.DUMMYFUNCTION("IMPORTRANGE(""https://docs.google.com/spreadsheets/d/1IYY_tgx_IHuhSq3AJ5eI5OnqOPBNLWSHKh2a30DoXe8/edit?usp=sharing"",""ระนอง!I470"")"),0)</f>
        <v>0</v>
      </c>
      <c r="J575" s="204">
        <f ca="1">IFERROR(__xludf.DUMMYFUNCTION("IMPORTRANGE(""https://docs.google.com/spreadsheets/d/1IYY_tgx_IHuhSq3AJ5eI5OnqOPBNLWSHKh2a30DoXe8/edit?usp=sharing"",""ระนอง!J470"")"),2)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IFERROR(__xludf.DUMMYFUNCTION("IMPORTRANGE(""https://docs.google.com/spreadsheets/d/1IYY_tgx_IHuhSq3AJ5eI5OnqOPBNLWSHKh2a30DoXe8/edit?usp=sharing"",""ระนอง!I471"")"),0)</f>
        <v>0</v>
      </c>
      <c r="J576" s="204">
        <f ca="1">IFERROR(__xludf.DUMMYFUNCTION("IMPORTRANGE(""https://docs.google.com/spreadsheets/d/1IYY_tgx_IHuhSq3AJ5eI5OnqOPBNLWSHKh2a30DoXe8/edit?usp=sharing"",""ระนอง!J471"")"),94)</f>
        <v>94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IFERROR(__xludf.DUMMYFUNCTION("IMPORTRANGE(""https://docs.google.com/spreadsheets/d/1IYY_tgx_IHuhSq3AJ5eI5OnqOPBNLWSHKh2a30DoXe8/edit?usp=sharing"",""ระนอง!I472"")"),0)</f>
        <v>0</v>
      </c>
      <c r="J577" s="195">
        <f ca="1">IFERROR(__xludf.DUMMYFUNCTION("IMPORTRANGE(""https://docs.google.com/spreadsheets/d/1IYY_tgx_IHuhSq3AJ5eI5OnqOPBNLWSHKh2a30DoXe8/edit?usp=sharing"",""ระนอง!J472"")"),392)</f>
        <v>392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IFERROR(__xludf.DUMMYFUNCTION("IMPORTRANGE(""https://docs.google.com/spreadsheets/d/1IYY_tgx_IHuhSq3AJ5eI5OnqOPBNLWSHKh2a30DoXe8/edit?usp=sharing"",""ระนอง!I473"")"),0)</f>
        <v>0</v>
      </c>
      <c r="J578" s="204">
        <f ca="1">IFERROR(__xludf.DUMMYFUNCTION("IMPORTRANGE(""https://docs.google.com/spreadsheets/d/1IYY_tgx_IHuhSq3AJ5eI5OnqOPBNLWSHKh2a30DoXe8/edit?usp=sharing"",""ระนอง!J473"")"),0)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IFERROR(__xludf.DUMMYFUNCTION("IMPORTRANGE(""https://docs.google.com/spreadsheets/d/1IYY_tgx_IHuhSq3AJ5eI5OnqOPBNLWSHKh2a30DoXe8/edit?usp=sharing"",""ระนอง!I474"")"),0)</f>
        <v>0</v>
      </c>
      <c r="J579" s="204">
        <f ca="1">IFERROR(__xludf.DUMMYFUNCTION("IMPORTRANGE(""https://docs.google.com/spreadsheets/d/1IYY_tgx_IHuhSq3AJ5eI5OnqOPBNLWSHKh2a30DoXe8/edit?usp=sharing"",""ระนอง!J474"")"),0)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IFERROR(__xludf.DUMMYFUNCTION("IMPORTRANGE(""https://docs.google.com/spreadsheets/d/1IYY_tgx_IHuhSq3AJ5eI5OnqOPBNLWSHKh2a30DoXe8/edit?usp=sharing"",""ระนอง!I475"")"),0)</f>
        <v>0</v>
      </c>
      <c r="J580" s="377">
        <f ca="1">IFERROR(__xludf.DUMMYFUNCTION("IMPORTRANGE(""https://docs.google.com/spreadsheets/d/1IYY_tgx_IHuhSq3AJ5eI5OnqOPBNLWSHKh2a30DoXe8/edit?usp=sharing"",""ระนอง!J475"")"),0)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IFERROR(__xludf.DUMMYFUNCTION("IMPORTRANGE(""https://docs.google.com/spreadsheets/d/1IYY_tgx_IHuhSq3AJ5eI5OnqOPBNLWSHKh2a30DoXe8/edit?usp=sharing"",""ระนอง!L475"")"),0)</f>
        <v>0</v>
      </c>
      <c r="M580" s="379"/>
      <c r="N580" s="379">
        <f ca="1">IFERROR(__xludf.DUMMYFUNCTION("IMPORTRANGE(""https://docs.google.com/spreadsheets/d/1IYY_tgx_IHuhSq3AJ5eI5OnqOPBNLWSHKh2a30DoXe8/edit?usp=sharing"",""ระนอง!M475"")"),0)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IFERROR(__xludf.DUMMYFUNCTION("IMPORTRANGE(""https://docs.google.com/spreadsheets/d/1IYY_tgx_IHuhSq3AJ5eI5OnqOPBNLWSHKh2a30DoXe8/edit?usp=sharing"",""ระนอง!L476"")"),0)</f>
        <v>0</v>
      </c>
      <c r="M581" s="168"/>
      <c r="N581" s="175">
        <f ca="1">IFERROR(__xludf.DUMMYFUNCTION("IMPORTRANGE(""https://docs.google.com/spreadsheets/d/1IYY_tgx_IHuhSq3AJ5eI5OnqOPBNLWSHKh2a30DoXe8/edit?usp=sharing"",""ระนอง!M476"")"),0)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IFERROR(__xludf.DUMMYFUNCTION("IMPORTRANGE(""https://docs.google.com/spreadsheets/d/1IYY_tgx_IHuhSq3AJ5eI5OnqOPBNLWSHKh2a30DoXe8/edit?usp=sharing"",""ระนอง!L477"")"),0)</f>
        <v>0</v>
      </c>
      <c r="M582" s="169"/>
      <c r="N582" s="175">
        <f ca="1">IFERROR(__xludf.DUMMYFUNCTION("IMPORTRANGE(""https://docs.google.com/spreadsheets/d/1IYY_tgx_IHuhSq3AJ5eI5OnqOPBNLWSHKh2a30DoXe8/edit?usp=sharing"",""ระนอง!M477"")"),0)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IFERROR(__xludf.DUMMYFUNCTION("IMPORTRANGE(""https://docs.google.com/spreadsheets/d/1IYY_tgx_IHuhSq3AJ5eI5OnqOPBNLWSHKh2a30DoXe8/edit?usp=sharing"",""ระนอง!L478"")"),0)</f>
        <v>0</v>
      </c>
      <c r="M583" s="175"/>
      <c r="N583" s="175">
        <f ca="1">IFERROR(__xludf.DUMMYFUNCTION("IMPORTRANGE(""https://docs.google.com/spreadsheets/d/1IYY_tgx_IHuhSq3AJ5eI5OnqOPBNLWSHKh2a30DoXe8/edit?usp=sharing"",""ระนอง!M478"")"),0)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IFERROR(__xludf.DUMMYFUNCTION("IMPORTRANGE(""https://docs.google.com/spreadsheets/d/1IYY_tgx_IHuhSq3AJ5eI5OnqOPBNLWSHKh2a30DoXe8/edit?usp=sharing"",""ระนอง!L479"")"),0)</f>
        <v>0</v>
      </c>
      <c r="M584" s="175"/>
      <c r="N584" s="175">
        <f ca="1">IFERROR(__xludf.DUMMYFUNCTION("IMPORTRANGE(""https://docs.google.com/spreadsheets/d/1IYY_tgx_IHuhSq3AJ5eI5OnqOPBNLWSHKh2a30DoXe8/edit?usp=sharing"",""ระนอง!M479"")"),0)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IFERROR(__xludf.DUMMYFUNCTION("IMPORTRANGE(""https://docs.google.com/spreadsheets/d/1IYY_tgx_IHuhSq3AJ5eI5OnqOPBNLWSHKh2a30DoXe8/edit?usp=sharing"",""ระนอง!M480"")"),0)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IFERROR(__xludf.DUMMYFUNCTION("IMPORTRANGE(""https://docs.google.com/spreadsheets/d/1IYY_tgx_IHuhSq3AJ5eI5OnqOPBNLWSHKh2a30DoXe8/edit?usp=sharing"",""ระนอง!M481"")"),0)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IFERROR(__xludf.DUMMYFUNCTION("IMPORTRANGE(""https://docs.google.com/spreadsheets/d/1IYY_tgx_IHuhSq3AJ5eI5OnqOPBNLWSHKh2a30DoXe8/edit?usp=sharing"",""ระนอง!M482"")"),0)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IFERROR(__xludf.DUMMYFUNCTION("IMPORTRANGE(""https://docs.google.com/spreadsheets/d/1IYY_tgx_IHuhSq3AJ5eI5OnqOPBNLWSHKh2a30DoXe8/edit?usp=sharing"",""ระนอง!M483"")"),0)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IFERROR(__xludf.DUMMYFUNCTION("IMPORTRANGE(""https://docs.google.com/spreadsheets/d/1IYY_tgx_IHuhSq3AJ5eI5OnqOPBNLWSHKh2a30DoXe8/edit?usp=sharing"",""ระนอง!I484"")"),0)</f>
        <v>0</v>
      </c>
      <c r="J589" s="194">
        <f ca="1">IFERROR(__xludf.DUMMYFUNCTION("IMPORTRANGE(""https://docs.google.com/spreadsheets/d/1IYY_tgx_IHuhSq3AJ5eI5OnqOPBNLWSHKh2a30DoXe8/edit?usp=sharing"",""ระนอง!J484"")"),0)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IFERROR(__xludf.DUMMYFUNCTION("IMPORTRANGE(""https://docs.google.com/spreadsheets/d/1IYY_tgx_IHuhSq3AJ5eI5OnqOPBNLWSHKh2a30DoXe8/edit?usp=sharing"",""ระนอง!I485"")"),0)</f>
        <v>0</v>
      </c>
      <c r="J590" s="194">
        <f ca="1">IFERROR(__xludf.DUMMYFUNCTION("IMPORTRANGE(""https://docs.google.com/spreadsheets/d/1IYY_tgx_IHuhSq3AJ5eI5OnqOPBNLWSHKh2a30DoXe8/edit?usp=sharing"",""ระนอง!J485"")"),0)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IFERROR(__xludf.DUMMYFUNCTION("IMPORTRANGE(""https://docs.google.com/spreadsheets/d/1IYY_tgx_IHuhSq3AJ5eI5OnqOPBNLWSHKh2a30DoXe8/edit?usp=sharing"",""ระนอง!I486"")"),0)</f>
        <v>0</v>
      </c>
      <c r="J591" s="194">
        <f ca="1">IFERROR(__xludf.DUMMYFUNCTION("IMPORTRANGE(""https://docs.google.com/spreadsheets/d/1IYY_tgx_IHuhSq3AJ5eI5OnqOPBNLWSHKh2a30DoXe8/edit?usp=sharing"",""ระนอง!J486"")"),0)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IFERROR(__xludf.DUMMYFUNCTION("IMPORTRANGE(""https://docs.google.com/spreadsheets/d/1IYY_tgx_IHuhSq3AJ5eI5OnqOPBNLWSHKh2a30DoXe8/edit?usp=sharing"",""ระนอง!I487"")"),0)</f>
        <v>0</v>
      </c>
      <c r="J592" s="194">
        <f ca="1">IFERROR(__xludf.DUMMYFUNCTION("IMPORTRANGE(""https://docs.google.com/spreadsheets/d/1IYY_tgx_IHuhSq3AJ5eI5OnqOPBNLWSHKh2a30DoXe8/edit?usp=sharing"",""ระนอง!J487"")"),0)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IFERROR(__xludf.DUMMYFUNCTION("IMPORTRANGE(""https://docs.google.com/spreadsheets/d/1IYY_tgx_IHuhSq3AJ5eI5OnqOPBNLWSHKh2a30DoXe8/edit?usp=sharing"",""ระนอง!I488"")"),0)</f>
        <v>0</v>
      </c>
      <c r="J593" s="194">
        <f ca="1">IFERROR(__xludf.DUMMYFUNCTION("IMPORTRANGE(""https://docs.google.com/spreadsheets/d/1IYY_tgx_IHuhSq3AJ5eI5OnqOPBNLWSHKh2a30DoXe8/edit?usp=sharing"",""ระนอง!J488"")"),0)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IFERROR(__xludf.DUMMYFUNCTION("IMPORTRANGE(""https://docs.google.com/spreadsheets/d/1IYY_tgx_IHuhSq3AJ5eI5OnqOPBNLWSHKh2a30DoXe8/edit?usp=sharing"",""ระนอง!I489"")"),0)</f>
        <v>0</v>
      </c>
      <c r="J594" s="194">
        <f ca="1">IFERROR(__xludf.DUMMYFUNCTION("IMPORTRANGE(""https://docs.google.com/spreadsheets/d/1IYY_tgx_IHuhSq3AJ5eI5OnqOPBNLWSHKh2a30DoXe8/edit?usp=sharing"",""ระนอง!J489"")"),0)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IFERROR(__xludf.DUMMYFUNCTION("IMPORTRANGE(""https://docs.google.com/spreadsheets/d/1IYY_tgx_IHuhSq3AJ5eI5OnqOPBNLWSHKh2a30DoXe8/edit?usp=sharing"",""ระนอง!I490"")"),0)</f>
        <v>0</v>
      </c>
      <c r="J595" s="194">
        <f ca="1">IFERROR(__xludf.DUMMYFUNCTION("IMPORTRANGE(""https://docs.google.com/spreadsheets/d/1IYY_tgx_IHuhSq3AJ5eI5OnqOPBNLWSHKh2a30DoXe8/edit?usp=sharing"",""ระนอง!J490"")"),0)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IFERROR(__xludf.DUMMYFUNCTION("IMPORTRANGE(""https://docs.google.com/spreadsheets/d/1IYY_tgx_IHuhSq3AJ5eI5OnqOPBNLWSHKh2a30DoXe8/edit?usp=sharing"",""ระนอง!I491"")"),0)</f>
        <v>0</v>
      </c>
      <c r="J596" s="247">
        <f ca="1">IFERROR(__xludf.DUMMYFUNCTION("IMPORTRANGE(""https://docs.google.com/spreadsheets/d/1IYY_tgx_IHuhSq3AJ5eI5OnqOPBNLWSHKh2a30DoXe8/edit?usp=sharing"",""ระนอง!J491"")"),0)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IFERROR(__xludf.DUMMYFUNCTION("IMPORTRANGE(""https://docs.google.com/spreadsheets/d/1IYY_tgx_IHuhSq3AJ5eI5OnqOPBNLWSHKh2a30DoXe8/edit?usp=sharing"",""ระนอง!I492"")"),50)</f>
        <v>50</v>
      </c>
      <c r="J597" s="493">
        <f ca="1">IFERROR(__xludf.DUMMYFUNCTION("IMPORTRANGE(""https://docs.google.com/spreadsheets/d/1IYY_tgx_IHuhSq3AJ5eI5OnqOPBNLWSHKh2a30DoXe8/edit?usp=sharing"",""ระนอง!J492"")"),0)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IFERROR(__xludf.DUMMYFUNCTION("IMPORTRANGE(""https://docs.google.com/spreadsheets/d/1IYY_tgx_IHuhSq3AJ5eI5OnqOPBNLWSHKh2a30DoXe8/edit?usp=sharing"",""ระนอง!L492"")"),7750)</f>
        <v>7750</v>
      </c>
      <c r="M597" s="418"/>
      <c r="N597" s="418">
        <f ca="1">IFERROR(__xludf.DUMMYFUNCTION("IMPORTRANGE(""https://docs.google.com/spreadsheets/d/1IYY_tgx_IHuhSq3AJ5eI5OnqOPBNLWSHKh2a30DoXe8/edit?usp=sharing"",""ระนอง!M492"")"),3400)</f>
        <v>3400</v>
      </c>
      <c r="O597" s="418">
        <f t="shared" ref="O597:O601" ca="1" si="126">+IF(L597&gt;0,N597*100/L597,0)</f>
        <v>43.87096774193548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IFERROR(__xludf.DUMMYFUNCTION("IMPORTRANGE(""https://docs.google.com/spreadsheets/d/1IYY_tgx_IHuhSq3AJ5eI5OnqOPBNLWSHKh2a30DoXe8/edit?usp=sharing"",""ระนอง!L493"")"),0)</f>
        <v>0</v>
      </c>
      <c r="M598" s="168"/>
      <c r="N598" s="175">
        <f ca="1">IFERROR(__xludf.DUMMYFUNCTION("IMPORTRANGE(""https://docs.google.com/spreadsheets/d/1IYY_tgx_IHuhSq3AJ5eI5OnqOPBNLWSHKh2a30DoXe8/edit?usp=sharing"",""ระนอง!M493"")"),0)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IFERROR(__xludf.DUMMYFUNCTION("IMPORTRANGE(""https://docs.google.com/spreadsheets/d/1IYY_tgx_IHuhSq3AJ5eI5OnqOPBNLWSHKh2a30DoXe8/edit?usp=sharing"",""ระนอง!L494"")"),7750)</f>
        <v>7750</v>
      </c>
      <c r="M599" s="169"/>
      <c r="N599" s="175">
        <f ca="1">IFERROR(__xludf.DUMMYFUNCTION("IMPORTRANGE(""https://docs.google.com/spreadsheets/d/1IYY_tgx_IHuhSq3AJ5eI5OnqOPBNLWSHKh2a30DoXe8/edit?usp=sharing"",""ระนอง!M494"")"),3400)</f>
        <v>3400</v>
      </c>
      <c r="O599" s="175">
        <f t="shared" ca="1" si="126"/>
        <v>43.87096774193548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IFERROR(__xludf.DUMMYFUNCTION("IMPORTRANGE(""https://docs.google.com/spreadsheets/d/1IYY_tgx_IHuhSq3AJ5eI5OnqOPBNLWSHKh2a30DoXe8/edit?usp=sharing"",""ระนอง!L495"")"),0)</f>
        <v>0</v>
      </c>
      <c r="M600" s="175"/>
      <c r="N600" s="175">
        <f ca="1">IFERROR(__xludf.DUMMYFUNCTION("IMPORTRANGE(""https://docs.google.com/spreadsheets/d/1IYY_tgx_IHuhSq3AJ5eI5OnqOPBNLWSHKh2a30DoXe8/edit?usp=sharing"",""ระนอง!M495"")"),0)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IFERROR(__xludf.DUMMYFUNCTION("IMPORTRANGE(""https://docs.google.com/spreadsheets/d/1IYY_tgx_IHuhSq3AJ5eI5OnqOPBNLWSHKh2a30DoXe8/edit?usp=sharing"",""ระนอง!L496"")"),7750)</f>
        <v>7750</v>
      </c>
      <c r="M601" s="175"/>
      <c r="N601" s="175">
        <f ca="1">IFERROR(__xludf.DUMMYFUNCTION("IMPORTRANGE(""https://docs.google.com/spreadsheets/d/1IYY_tgx_IHuhSq3AJ5eI5OnqOPBNLWSHKh2a30DoXe8/edit?usp=sharing"",""ระนอง!M496"")"),3400)</f>
        <v>3400</v>
      </c>
      <c r="O601" s="175">
        <f t="shared" ca="1" si="126"/>
        <v>43.87096774193548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IFERROR(__xludf.DUMMYFUNCTION("IMPORTRANGE(""https://docs.google.com/spreadsheets/d/1IYY_tgx_IHuhSq3AJ5eI5OnqOPBNLWSHKh2a30DoXe8/edit?usp=sharing"",""ระนอง!M497"")"),0)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IFERROR(__xludf.DUMMYFUNCTION("IMPORTRANGE(""https://docs.google.com/spreadsheets/d/1IYY_tgx_IHuhSq3AJ5eI5OnqOPBNLWSHKh2a30DoXe8/edit?usp=sharing"",""ระนอง!M498"")"),0)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IFERROR(__xludf.DUMMYFUNCTION("IMPORTRANGE(""https://docs.google.com/spreadsheets/d/1IYY_tgx_IHuhSq3AJ5eI5OnqOPBNLWSHKh2a30DoXe8/edit?usp=sharing"",""ระนอง!M499"")"),2400)</f>
        <v>2400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IFERROR(__xludf.DUMMYFUNCTION("IMPORTRANGE(""https://docs.google.com/spreadsheets/d/1IYY_tgx_IHuhSq3AJ5eI5OnqOPBNLWSHKh2a30DoXe8/edit?usp=sharing"",""ระนอง!M500"")"),1000)</f>
        <v>1000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IFERROR(__xludf.DUMMYFUNCTION("IMPORTRANGE(""https://docs.google.com/spreadsheets/d/1IYY_tgx_IHuhSq3AJ5eI5OnqOPBNLWSHKh2a30DoXe8/edit?usp=sharing"",""ระนอง!J502"")"),0)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IFERROR(__xludf.DUMMYFUNCTION("IMPORTRANGE(""https://docs.google.com/spreadsheets/d/1IYY_tgx_IHuhSq3AJ5eI5OnqOPBNLWSHKh2a30DoXe8/edit?usp=sharing"",""ระนอง!J503"")"),1)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IFERROR(__xludf.DUMMYFUNCTION("IMPORTRANGE(""https://docs.google.com/spreadsheets/d/1IYY_tgx_IHuhSq3AJ5eI5OnqOPBNLWSHKh2a30DoXe8/edit?usp=sharing"",""ระนอง!J166"")"),0)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IFERROR(__xludf.DUMMYFUNCTION("IMPORTRANGE(""https://docs.google.com/spreadsheets/d/1IYY_tgx_IHuhSq3AJ5eI5OnqOPBNLWSHKh2a30DoXe8/edit?usp=sharing"",""ระนอง!J166"")"),0)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IFERROR(__xludf.DUMMYFUNCTION("IMPORTRANGE(""https://docs.google.com/spreadsheets/d/1IYY_tgx_IHuhSq3AJ5eI5OnqOPBNLWSHKh2a30DoXe8/edit?usp=sharing"",""ระนอง!I506"")"),50)</f>
        <v>50</v>
      </c>
      <c r="J611" s="166">
        <f ca="1">IFERROR(__xludf.DUMMYFUNCTION("IMPORTRANGE(""https://docs.google.com/spreadsheets/d/1IYY_tgx_IHuhSq3AJ5eI5OnqOPBNLWSHKh2a30DoXe8/edit?usp=sharing"",""ระนอง!J506"")"),0)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IFERROR(__xludf.DUMMYFUNCTION("IMPORTRANGE(""https://docs.google.com/spreadsheets/d/1IYY_tgx_IHuhSq3AJ5eI5OnqOPBNLWSHKh2a30DoXe8/edit?usp=sharing"",""ระนอง!I507"")"),0)</f>
        <v>0</v>
      </c>
      <c r="J612" s="204">
        <f ca="1">IFERROR(__xludf.DUMMYFUNCTION("IMPORTRANGE(""https://docs.google.com/spreadsheets/d/1IYY_tgx_IHuhSq3AJ5eI5OnqOPBNLWSHKh2a30DoXe8/edit?usp=sharing"",""ระนอง!J507"")"),0)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IFERROR(__xludf.DUMMYFUNCTION("IMPORTRANGE(""https://docs.google.com/spreadsheets/d/1IYY_tgx_IHuhSq3AJ5eI5OnqOPBNLWSHKh2a30DoXe8/edit?usp=sharing"",""ระนอง!I508"")"),0)</f>
        <v>0</v>
      </c>
      <c r="J613" s="204">
        <f ca="1">IFERROR(__xludf.DUMMYFUNCTION("IMPORTRANGE(""https://docs.google.com/spreadsheets/d/1IYY_tgx_IHuhSq3AJ5eI5OnqOPBNLWSHKh2a30DoXe8/edit?usp=sharing"",""ระนอง!J508"")"),0)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IFERROR(__xludf.DUMMYFUNCTION("IMPORTRANGE(""https://docs.google.com/spreadsheets/d/1IYY_tgx_IHuhSq3AJ5eI5OnqOPBNLWSHKh2a30DoXe8/edit?usp=sharing"",""ระนอง!I509"")"),0)</f>
        <v>0</v>
      </c>
      <c r="J614" s="204">
        <f ca="1">IFERROR(__xludf.DUMMYFUNCTION("IMPORTRANGE(""https://docs.google.com/spreadsheets/d/1IYY_tgx_IHuhSq3AJ5eI5OnqOPBNLWSHKh2a30DoXe8/edit?usp=sharing"",""ระนอง!J509"")"),0)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IFERROR(__xludf.DUMMYFUNCTION("IMPORTRANGE(""https://docs.google.com/spreadsheets/d/1IYY_tgx_IHuhSq3AJ5eI5OnqOPBNLWSHKh2a30DoXe8/edit?usp=sharing"",""ระนอง!I510"")"),0)</f>
        <v>0</v>
      </c>
      <c r="J615" s="204">
        <f ca="1">IFERROR(__xludf.DUMMYFUNCTION("IMPORTRANGE(""https://docs.google.com/spreadsheets/d/1IYY_tgx_IHuhSq3AJ5eI5OnqOPBNLWSHKh2a30DoXe8/edit?usp=sharing"",""ระนอง!J510"")"),0)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IFERROR(__xludf.DUMMYFUNCTION("IMPORTRANGE(""https://docs.google.com/spreadsheets/d/1IYY_tgx_IHuhSq3AJ5eI5OnqOPBNLWSHKh2a30DoXe8/edit?usp=sharing"",""ระนอง!I511"")"),0)</f>
        <v>0</v>
      </c>
      <c r="J616" s="204">
        <f ca="1">IFERROR(__xludf.DUMMYFUNCTION("IMPORTRANGE(""https://docs.google.com/spreadsheets/d/1IYY_tgx_IHuhSq3AJ5eI5OnqOPBNLWSHKh2a30DoXe8/edit?usp=sharing"",""ระนอง!J511"")"),0)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IFERROR(__xludf.DUMMYFUNCTION("IMPORTRANGE(""https://docs.google.com/spreadsheets/d/1IYY_tgx_IHuhSq3AJ5eI5OnqOPBNLWSHKh2a30DoXe8/edit?usp=sharing"",""ระนอง!I512"")"),0)</f>
        <v>0</v>
      </c>
      <c r="J617" s="194">
        <f ca="1">IFERROR(__xludf.DUMMYFUNCTION("IMPORTRANGE(""https://docs.google.com/spreadsheets/d/1IYY_tgx_IHuhSq3AJ5eI5OnqOPBNLWSHKh2a30DoXe8/edit?usp=sharing"",""ระนอง!J512"")"),0)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IFERROR(__xludf.DUMMYFUNCTION("IMPORTRANGE(""https://docs.google.com/spreadsheets/d/1IYY_tgx_IHuhSq3AJ5eI5OnqOPBNLWSHKh2a30DoXe8/edit?usp=sharing"",""ระนอง!I513"")"),0)</f>
        <v>0</v>
      </c>
      <c r="J618" s="195">
        <f ca="1">IFERROR(__xludf.DUMMYFUNCTION("IMPORTRANGE(""https://docs.google.com/spreadsheets/d/1IYY_tgx_IHuhSq3AJ5eI5OnqOPBNLWSHKh2a30DoXe8/edit?usp=sharing"",""ระนอง!J513"")"),0)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IFERROR(__xludf.DUMMYFUNCTION("IMPORTRANGE(""https://docs.google.com/spreadsheets/d/1IYY_tgx_IHuhSq3AJ5eI5OnqOPBNLWSHKh2a30DoXe8/edit?usp=sharing"",""ระนอง!I514"")"),0)</f>
        <v>0</v>
      </c>
      <c r="J619" s="195">
        <f ca="1">IFERROR(__xludf.DUMMYFUNCTION("IMPORTRANGE(""https://docs.google.com/spreadsheets/d/1IYY_tgx_IHuhSq3AJ5eI5OnqOPBNLWSHKh2a30DoXe8/edit?usp=sharing"",""ระนอง!J514"")"),0)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IFERROR(__xludf.DUMMYFUNCTION("IMPORTRANGE(""https://docs.google.com/spreadsheets/d/1IYY_tgx_IHuhSq3AJ5eI5OnqOPBNLWSHKh2a30DoXe8/edit?usp=sharing"",""ระนอง!I515"")"),0)</f>
        <v>0</v>
      </c>
      <c r="J620" s="209">
        <f ca="1">IFERROR(__xludf.DUMMYFUNCTION("IMPORTRANGE(""https://docs.google.com/spreadsheets/d/1IYY_tgx_IHuhSq3AJ5eI5OnqOPBNLWSHKh2a30DoXe8/edit?usp=sharing"",""ระนอง!J515"")"),0)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IFERROR(__xludf.DUMMYFUNCTION("IMPORTRANGE(""https://docs.google.com/spreadsheets/d/1IYY_tgx_IHuhSq3AJ5eI5OnqOPBNLWSHKh2a30DoXe8/edit?usp=sharing"",""ระนอง!I516"")"),0)</f>
        <v>0</v>
      </c>
      <c r="J621" s="209">
        <f ca="1">IFERROR(__xludf.DUMMYFUNCTION("IMPORTRANGE(""https://docs.google.com/spreadsheets/d/1IYY_tgx_IHuhSq3AJ5eI5OnqOPBNLWSHKh2a30DoXe8/edit?usp=sharing"",""ระนอง!J516"")"),0)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IFERROR(__xludf.DUMMYFUNCTION("IMPORTRANGE(""https://docs.google.com/spreadsheets/d/1IYY_tgx_IHuhSq3AJ5eI5OnqOPBNLWSHKh2a30DoXe8/edit?usp=sharing"",""ระนอง!I517"")"),0)</f>
        <v>0</v>
      </c>
      <c r="J622" s="195">
        <f ca="1">IFERROR(__xludf.DUMMYFUNCTION("IMPORTRANGE(""https://docs.google.com/spreadsheets/d/1IYY_tgx_IHuhSq3AJ5eI5OnqOPBNLWSHKh2a30DoXe8/edit?usp=sharing"",""ระนอง!J517"")"),0)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IFERROR(__xludf.DUMMYFUNCTION("IMPORTRANGE(""https://docs.google.com/spreadsheets/d/1IYY_tgx_IHuhSq3AJ5eI5OnqOPBNLWSHKh2a30DoXe8/edit?usp=sharing"",""ระนอง!I518"")"),0)</f>
        <v>0</v>
      </c>
      <c r="J623" s="195">
        <f ca="1">IFERROR(__xludf.DUMMYFUNCTION("IMPORTRANGE(""https://docs.google.com/spreadsheets/d/1IYY_tgx_IHuhSq3AJ5eI5OnqOPBNLWSHKh2a30DoXe8/edit?usp=sharing"",""ระนอง!J518"")"),0)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IFERROR(__xludf.DUMMYFUNCTION("IMPORTRANGE(""https://docs.google.com/spreadsheets/d/1IYY_tgx_IHuhSq3AJ5eI5OnqOPBNLWSHKh2a30DoXe8/edit?usp=sharing"",""ระนอง!I519"")"),0)</f>
        <v>0</v>
      </c>
      <c r="J624" s="194">
        <f ca="1">IFERROR(__xludf.DUMMYFUNCTION("IMPORTRANGE(""https://docs.google.com/spreadsheets/d/1IYY_tgx_IHuhSq3AJ5eI5OnqOPBNLWSHKh2a30DoXe8/edit?usp=sharing"",""ระนอง!J519"")"),0)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IFERROR(__xludf.DUMMYFUNCTION("IMPORTRANGE(""https://docs.google.com/spreadsheets/d/1IYY_tgx_IHuhSq3AJ5eI5OnqOPBNLWSHKh2a30DoXe8/edit?usp=sharing"",""ระนอง!I520"")"),0)</f>
        <v>0</v>
      </c>
      <c r="J625" s="195">
        <f ca="1">IFERROR(__xludf.DUMMYFUNCTION("IMPORTRANGE(""https://docs.google.com/spreadsheets/d/1IYY_tgx_IHuhSq3AJ5eI5OnqOPBNLWSHKh2a30DoXe8/edit?usp=sharing"",""ระนอง!J520"")"),0)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IFERROR(__xludf.DUMMYFUNCTION("IMPORTRANGE(""https://docs.google.com/spreadsheets/d/1IYY_tgx_IHuhSq3AJ5eI5OnqOPBNLWSHKh2a30DoXe8/edit?usp=sharing"",""ระนอง!I521"")"),0)</f>
        <v>0</v>
      </c>
      <c r="J626" s="195">
        <f ca="1">IFERROR(__xludf.DUMMYFUNCTION("IMPORTRANGE(""https://docs.google.com/spreadsheets/d/1IYY_tgx_IHuhSq3AJ5eI5OnqOPBNLWSHKh2a30DoXe8/edit?usp=sharing"",""ระนอง!J521"")"),0)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IFERROR(__xludf.DUMMYFUNCTION("IMPORTRANGE(""https://docs.google.com/spreadsheets/d/1IYY_tgx_IHuhSq3AJ5eI5OnqOPBNLWSHKh2a30DoXe8/edit?usp=sharing"",""ระนอง!I523"")"),1209766.67)</f>
        <v>1209766.67</v>
      </c>
      <c r="J628" s="347">
        <f ca="1">IFERROR(__xludf.DUMMYFUNCTION("IMPORTRANGE(""https://docs.google.com/spreadsheets/d/1IYY_tgx_IHuhSq3AJ5eI5OnqOPBNLWSHKh2a30DoXe8/edit?usp=sharing"",""ระนอง!J523"")"),411418.01)</f>
        <v>411418.01</v>
      </c>
      <c r="K628" s="348">
        <f t="shared" ref="K628:K635" ca="1" si="129">IF(I628&gt;0,J628*100/I628,0)</f>
        <v>34.008046361535158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IFERROR(__xludf.DUMMYFUNCTION("IMPORTRANGE(""https://docs.google.com/spreadsheets/d/1IYY_tgx_IHuhSq3AJ5eI5OnqOPBNLWSHKh2a30DoXe8/edit?usp=sharing"",""ระนอง!I524"")"),121)</f>
        <v>121</v>
      </c>
      <c r="J629" s="347">
        <f ca="1">IFERROR(__xludf.DUMMYFUNCTION("IMPORTRANGE(""https://docs.google.com/spreadsheets/d/1IYY_tgx_IHuhSq3AJ5eI5OnqOPBNLWSHKh2a30DoXe8/edit?usp=sharing"",""ระนอง!J524"")"),41)</f>
        <v>41</v>
      </c>
      <c r="K629" s="348">
        <f t="shared" ca="1" si="129"/>
        <v>33.884297520661157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IFERROR(__xludf.DUMMYFUNCTION("IMPORTRANGE(""https://docs.google.com/spreadsheets/d/1IYY_tgx_IHuhSq3AJ5eI5OnqOPBNLWSHKh2a30DoXe8/edit?usp=sharing"",""ระนอง!I525"")"),2205098.43)</f>
        <v>2205098.4300000002</v>
      </c>
      <c r="J630" s="347">
        <f ca="1">IFERROR(__xludf.DUMMYFUNCTION("IMPORTRANGE(""https://docs.google.com/spreadsheets/d/1IYY_tgx_IHuhSq3AJ5eI5OnqOPBNLWSHKh2a30DoXe8/edit?usp=sharing"",""ระนอง!J525"")"),162761.88)</f>
        <v>162761.88</v>
      </c>
      <c r="K630" s="348">
        <f t="shared" ca="1" si="129"/>
        <v>7.3811616654227992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IFERROR(__xludf.DUMMYFUNCTION("IMPORTRANGE(""https://docs.google.com/spreadsheets/d/1IYY_tgx_IHuhSq3AJ5eI5OnqOPBNLWSHKh2a30DoXe8/edit?usp=sharing"",""ระนอง!I526"")"),134)</f>
        <v>134</v>
      </c>
      <c r="J631" s="347">
        <f ca="1">IFERROR(__xludf.DUMMYFUNCTION("IMPORTRANGE(""https://docs.google.com/spreadsheets/d/1IYY_tgx_IHuhSq3AJ5eI5OnqOPBNLWSHKh2a30DoXe8/edit?usp=sharing"",""ระนอง!J526"")"),30)</f>
        <v>30</v>
      </c>
      <c r="K631" s="348">
        <f t="shared" ca="1" si="129"/>
        <v>22.388059701492537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IFERROR(__xludf.DUMMYFUNCTION("IMPORTRANGE(""https://docs.google.com/spreadsheets/d/1IYY_tgx_IHuhSq3AJ5eI5OnqOPBNLWSHKh2a30DoXe8/edit?usp=sharing"",""ระนอง!I527"")"),0)</f>
        <v>0</v>
      </c>
      <c r="J632" s="347">
        <f ca="1">IFERROR(__xludf.DUMMYFUNCTION("IMPORTRANGE(""https://docs.google.com/spreadsheets/d/1IYY_tgx_IHuhSq3AJ5eI5OnqOPBNLWSHKh2a30DoXe8/edit?usp=sharing"",""ระนอง!J527"")"),0)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IFERROR(__xludf.DUMMYFUNCTION("IMPORTRANGE(""https://docs.google.com/spreadsheets/d/1IYY_tgx_IHuhSq3AJ5eI5OnqOPBNLWSHKh2a30DoXe8/edit?usp=sharing"",""ระนอง!I528"")"),0)</f>
        <v>0</v>
      </c>
      <c r="J633" s="347">
        <f ca="1">IFERROR(__xludf.DUMMYFUNCTION("IMPORTRANGE(""https://docs.google.com/spreadsheets/d/1IYY_tgx_IHuhSq3AJ5eI5OnqOPBNLWSHKh2a30DoXe8/edit?usp=sharing"",""ระนอง!J528"")"),0)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IFERROR(__xludf.DUMMYFUNCTION("IMPORTRANGE(""https://docs.google.com/spreadsheets/d/1IYY_tgx_IHuhSq3AJ5eI5OnqOPBNLWSHKh2a30DoXe8/edit?usp=sharing"",""ระนอง!I529"")"),900000)</f>
        <v>900000</v>
      </c>
      <c r="J634" s="347">
        <f ca="1">IFERROR(__xludf.DUMMYFUNCTION("IMPORTRANGE(""https://docs.google.com/spreadsheets/d/1IYY_tgx_IHuhSq3AJ5eI5OnqOPBNLWSHKh2a30DoXe8/edit?usp=sharing"",""ระนอง!J529"")"),0)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IFERROR(__xludf.DUMMYFUNCTION("IMPORTRANGE(""https://docs.google.com/spreadsheets/d/1IYY_tgx_IHuhSq3AJ5eI5OnqOPBNLWSHKh2a30DoXe8/edit?usp=sharing"",""ระนอง!I530"")"),30)</f>
        <v>30</v>
      </c>
      <c r="J635" s="517">
        <f ca="1">IFERROR(__xludf.DUMMYFUNCTION("IMPORTRANGE(""https://docs.google.com/spreadsheets/d/1IYY_tgx_IHuhSq3AJ5eI5OnqOPBNLWSHKh2a30DoXe8/edit?usp=sharing"",""ระนอง!J530"")"),0)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262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5787708.75</v>
      </c>
      <c r="M8" s="23">
        <f t="shared" ca="1" si="0"/>
        <v>3451110.56</v>
      </c>
      <c r="N8" s="23">
        <f t="shared" ca="1" si="0"/>
        <v>2626973.5</v>
      </c>
      <c r="O8" s="22">
        <f t="shared" ref="O8:O16" ca="1" si="1">IF(L8&gt;0,N8*100/L8,0)</f>
        <v>45.388833707293927</v>
      </c>
      <c r="P8" s="22">
        <f t="shared" ref="P8:P16" ca="1" si="2">IF(M8&gt;0,N8*100/M8,0)</f>
        <v>76.119656392578733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5787708.75</v>
      </c>
      <c r="M10" s="30">
        <f t="shared" ca="1" si="4"/>
        <v>3451110.56</v>
      </c>
      <c r="N10" s="30">
        <f t="shared" ca="1" si="4"/>
        <v>2626973.5</v>
      </c>
      <c r="O10" s="29">
        <f t="shared" ca="1" si="1"/>
        <v>45.388833707293927</v>
      </c>
      <c r="P10" s="29">
        <f t="shared" ca="1" si="2"/>
        <v>76.119656392578733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4720708.75</v>
      </c>
      <c r="M12" s="38">
        <f t="shared" ca="1" si="6"/>
        <v>2384110.56</v>
      </c>
      <c r="N12" s="38">
        <f t="shared" ca="1" si="6"/>
        <v>2609973.5</v>
      </c>
      <c r="O12" s="38">
        <f t="shared" ca="1" si="1"/>
        <v>55.287746781667053</v>
      </c>
      <c r="P12" s="38">
        <f t="shared" ca="1" si="2"/>
        <v>109.47367726100755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2079100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2641608.75</v>
      </c>
      <c r="M14" s="38">
        <f t="shared" si="8"/>
        <v>0</v>
      </c>
      <c r="N14" s="38">
        <f t="shared" ca="1" si="8"/>
        <v>719604</v>
      </c>
      <c r="O14" s="41">
        <f t="shared" ca="1" si="1"/>
        <v>27.24112721083317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1067000</v>
      </c>
      <c r="M16" s="38">
        <f t="shared" ca="1" si="10"/>
        <v>1067000</v>
      </c>
      <c r="N16" s="38">
        <f t="shared" ca="1" si="10"/>
        <v>17000</v>
      </c>
      <c r="O16" s="50">
        <f t="shared" ca="1" si="1"/>
        <v>1.5932521087160263</v>
      </c>
      <c r="P16" s="50">
        <f t="shared" ca="1" si="2"/>
        <v>1.5932521087160263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4145245</v>
      </c>
      <c r="M18" s="23">
        <f t="shared" ca="1" si="11"/>
        <v>3451110.56</v>
      </c>
      <c r="N18" s="23">
        <f t="shared" ca="1" si="11"/>
        <v>1907369.5</v>
      </c>
      <c r="O18" s="22">
        <f t="shared" ref="O18:O20" ca="1" si="12">IF(L18&gt;0,N18*100/L18,0)</f>
        <v>46.013432257924443</v>
      </c>
      <c r="P18" s="22">
        <f t="shared" ref="P18:P26" ca="1" si="13">IF(M18&gt;0,N18*100/M18,0)</f>
        <v>55.268281523846632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4145245</v>
      </c>
      <c r="M20" s="30">
        <f t="shared" ca="1" si="15"/>
        <v>3451110.56</v>
      </c>
      <c r="N20" s="30">
        <f t="shared" ca="1" si="15"/>
        <v>1907369.5</v>
      </c>
      <c r="O20" s="29">
        <f t="shared" ca="1" si="12"/>
        <v>46.013432257924443</v>
      </c>
      <c r="P20" s="29">
        <f t="shared" ca="1" si="13"/>
        <v>55.268281523846632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3078245</v>
      </c>
      <c r="M22" s="42">
        <f t="shared" ca="1" si="18"/>
        <v>2384110.56</v>
      </c>
      <c r="N22" s="41">
        <f t="shared" ca="1" si="18"/>
        <v>1890369.5</v>
      </c>
      <c r="O22" s="41">
        <f t="shared" ca="1" si="17"/>
        <v>61.41062521014409</v>
      </c>
      <c r="P22" s="41">
        <f t="shared" ca="1" si="13"/>
        <v>79.290345494715652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2079100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999145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1067000</v>
      </c>
      <c r="M26" s="50">
        <f t="shared" ca="1" si="22"/>
        <v>1067000</v>
      </c>
      <c r="N26" s="50">
        <f t="shared" ca="1" si="22"/>
        <v>17000</v>
      </c>
      <c r="O26" s="50">
        <f t="shared" ca="1" si="17"/>
        <v>1.5932521087160263</v>
      </c>
      <c r="P26" s="50">
        <f t="shared" ca="1" si="13"/>
        <v>1.5932521087160263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1642463.75</v>
      </c>
      <c r="M28" s="23">
        <f t="shared" si="23"/>
        <v>0</v>
      </c>
      <c r="N28" s="23">
        <f t="shared" ca="1" si="23"/>
        <v>719604</v>
      </c>
      <c r="O28" s="22">
        <f t="shared" ref="O28:O30" ca="1" si="24">IF(L28&gt;0,N28*100/L28,0)</f>
        <v>43.812473791278499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1642463.75</v>
      </c>
      <c r="M30" s="30">
        <f t="shared" si="27"/>
        <v>0</v>
      </c>
      <c r="N30" s="30">
        <f t="shared" ca="1" si="27"/>
        <v>719604</v>
      </c>
      <c r="O30" s="29">
        <f t="shared" ca="1" si="24"/>
        <v>43.812473791278499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1642463.75</v>
      </c>
      <c r="M32" s="41">
        <f t="shared" si="30"/>
        <v>0</v>
      </c>
      <c r="N32" s="41">
        <f t="shared" ca="1" si="30"/>
        <v>719604</v>
      </c>
      <c r="O32" s="41">
        <f t="shared" ca="1" si="29"/>
        <v>43.812473791278499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1642463.75</v>
      </c>
      <c r="M34" s="41">
        <f t="shared" si="32"/>
        <v>0</v>
      </c>
      <c r="N34" s="41">
        <f t="shared" ca="1" si="32"/>
        <v>719604</v>
      </c>
      <c r="O34" s="41">
        <f t="shared" ca="1" si="29"/>
        <v>43.812473791278499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4145245</v>
      </c>
      <c r="M37" s="55">
        <f t="shared" ca="1" si="33"/>
        <v>3451110.56</v>
      </c>
      <c r="N37" s="55">
        <f t="shared" ca="1" si="33"/>
        <v>1907369.5</v>
      </c>
      <c r="O37" s="56">
        <f t="shared" ca="1" si="29"/>
        <v>46.013432257924443</v>
      </c>
      <c r="P37" s="56">
        <f t="shared" ca="1" si="25"/>
        <v>55.268281523846632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674100</v>
      </c>
      <c r="M41" s="79">
        <f t="shared" ca="1" si="34"/>
        <v>505500</v>
      </c>
      <c r="N41" s="79">
        <f t="shared" ca="1" si="34"/>
        <v>490040.98</v>
      </c>
      <c r="O41" s="78">
        <f t="shared" ref="O41:O43" ca="1" si="35">IF(L41&gt;0,N41*100/L41,0)</f>
        <v>72.695591158581806</v>
      </c>
      <c r="P41" s="78">
        <f t="shared" ref="P41:P43" ca="1" si="36">IF(M41&gt;0,N41*100/M41,0)</f>
        <v>96.941835806132545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674100</v>
      </c>
      <c r="M43" s="79">
        <f t="shared" ca="1" si="38"/>
        <v>505500</v>
      </c>
      <c r="N43" s="79">
        <f t="shared" ca="1" si="38"/>
        <v>490040.98</v>
      </c>
      <c r="O43" s="78">
        <f t="shared" ca="1" si="35"/>
        <v>72.695591158581806</v>
      </c>
      <c r="P43" s="78">
        <f t="shared" ca="1" si="36"/>
        <v>96.941835806132545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674100</v>
      </c>
      <c r="M45" s="91">
        <f ca="1">IFERROR(__xludf.DUMMYFUNCTION("IMPORTRANGE(""https://docs.google.com/spreadsheets/d/1Yj_ptqi66GCucihVvJfMjLAmec39IyEx_6qawtMGysU/edit?usp=sharing"",""สบก!Q92"")"),505500)</f>
        <v>505500</v>
      </c>
      <c r="N45" s="91">
        <f ca="1">IFERROR(__xludf.DUMMYFUNCTION("IMPORTRANGE(""https://docs.google.com/spreadsheets/d/1Yj_ptqi66GCucihVvJfMjLAmec39IyEx_6qawtMGysU/edit?usp=sharing"",""สบก!R92"")"),490040.98)</f>
        <v>490040.98</v>
      </c>
      <c r="O45" s="92">
        <f ca="1">IF(L45&gt;0,N45*100/L45,0)</f>
        <v>72.695591158581806</v>
      </c>
      <c r="P45" s="92">
        <f ca="1">IF(M45&gt;0,N45*100/M45,0)</f>
        <v>96.941835806132545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IFERROR(__xludf.DUMMYFUNCTION("IMPORTRANGE(""https://docs.google.com/spreadsheets/d/1Yj_ptqi66GCucihVvJfMjLAmec39IyEx_6qawtMGysU/edit?usp=sharing"",""สบก!M92"")"),674100)</f>
        <v>674100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IFERROR(__xludf.DUMMYFUNCTION("IMPORTRANGE(""https://docs.google.com/spreadsheets/d/1Yj_ptqi66GCucihVvJfMjLAmec39IyEx_6qawtMGysU/edit?usp=sharing"",""สบก!O92"")"),0)</f>
        <v>0</v>
      </c>
      <c r="M49" s="101"/>
      <c r="N49" s="91">
        <f ca="1">IFERROR(__xludf.DUMMYFUNCTION("IMPORTRANGE(""https://docs.google.com/spreadsheets/d/1Yj_ptqi66GCucihVvJfMjLAmec39IyEx_6qawtMGysU/edit?usp=sharing"",""สบก!S92"")"),0)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389410.56</v>
      </c>
      <c r="N53" s="125">
        <f t="shared" ca="1" si="39"/>
        <v>351333</v>
      </c>
      <c r="O53" s="124">
        <f t="shared" ref="O53:O55" ca="1" si="40">IF(L53&gt;0,N53*100/L53,0)</f>
        <v>70.266599999999997</v>
      </c>
      <c r="P53" s="124">
        <f t="shared" ref="P53:P55" ca="1" si="41">IF(M53&gt;0,N53*100/M53,0)</f>
        <v>90.221744371801321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389410.56</v>
      </c>
      <c r="N55" s="125">
        <f t="shared" ca="1" si="43"/>
        <v>351333</v>
      </c>
      <c r="O55" s="124">
        <f t="shared" ca="1" si="40"/>
        <v>70.266599999999997</v>
      </c>
      <c r="P55" s="124">
        <f t="shared" ca="1" si="41"/>
        <v>90.221744371801321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IFERROR(__xludf.DUMMYFUNCTION("IMPORTRANGE(""https://docs.google.com/spreadsheets/d/1Yj_ptqi66GCucihVvJfMjLAmec39IyEx_6qawtMGysU/edit?usp=sharing"",""สบก!Z92"")"),389410.56)</f>
        <v>389410.56</v>
      </c>
      <c r="N57" s="91">
        <f ca="1">IFERROR(__xludf.DUMMYFUNCTION("IMPORTRANGE(""https://docs.google.com/spreadsheets/d/1Yj_ptqi66GCucihVvJfMjLAmec39IyEx_6qawtMGysU/edit?usp=sharing"",""สบก!AA92"")"),351333)</f>
        <v>351333</v>
      </c>
      <c r="O57" s="92">
        <f ca="1">IF(L57&gt;0,N57*100/L57,0)</f>
        <v>70.266599999999997</v>
      </c>
      <c r="P57" s="92">
        <f ca="1">IF(M57&gt;0,N57*100/M57,0)</f>
        <v>90.221744371801321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IFERROR(__xludf.DUMMYFUNCTION("IMPORTRANGE(""https://docs.google.com/spreadsheets/d/1Yj_ptqi66GCucihVvJfMjLAmec39IyEx_6qawtMGysU/edit?usp=sharing"",""สบก!X92"")"),0)</f>
        <v>0</v>
      </c>
      <c r="M61" s="101"/>
      <c r="N61" s="91">
        <f ca="1">IFERROR(__xludf.DUMMYFUNCTION("IMPORTRANGE(""https://docs.google.com/spreadsheets/d/1Yj_ptqi66GCucihVvJfMjLAmec39IyEx_6qawtMGysU/edit?usp=sharing"",""สบก!AB92"")"),0)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IFERROR(__xludf.DUMMYFUNCTION("IMPORTRANGE(""https://docs.google.com/spreadsheets/d/1IYY_tgx_IHuhSq3AJ5eI5OnqOPBNLWSHKh2a30DoXe8/edit?usp=sharing"",""สงขลา!I9"")"),0)</f>
        <v>0</v>
      </c>
      <c r="J64" s="146">
        <f ca="1">IFERROR(__xludf.DUMMYFUNCTION("IMPORTRANGE(""https://docs.google.com/spreadsheets/d/1IYY_tgx_IHuhSq3AJ5eI5OnqOPBNLWSHKh2a30DoXe8/edit?usp=sharing"",""สงขลา!J9"")"),0)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IFERROR(__xludf.DUMMYFUNCTION("IMPORTRANGE(""https://docs.google.com/spreadsheets/d/1IYY_tgx_IHuhSq3AJ5eI5OnqOPBNLWSHKh2a30DoXe8/edit?usp=sharing"",""สงขลา!I10"")"),0)</f>
        <v>0</v>
      </c>
      <c r="J65" s="146">
        <f ca="1">IFERROR(__xludf.DUMMYFUNCTION("IMPORTRANGE(""https://docs.google.com/spreadsheets/d/1IYY_tgx_IHuhSq3AJ5eI5OnqOPBNLWSHKh2a30DoXe8/edit?usp=sharing"",""สงขลา!J10"")"),0)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IFERROR(__xludf.DUMMYFUNCTION("IMPORTRANGE(""https://docs.google.com/spreadsheets/d/1Yj_ptqi66GCucihVvJfMjLAmec39IyEx_6qawtMGysU/edit?usp=sharing"",""สบก!AI92"")"),0)</f>
        <v>0</v>
      </c>
      <c r="N70" s="174">
        <f ca="1">IFERROR(__xludf.DUMMYFUNCTION("IMPORTRANGE(""https://docs.google.com/spreadsheets/d/1Yj_ptqi66GCucihVvJfMjLAmec39IyEx_6qawtMGysU/edit?usp=sharing"",""สบก!AJ92"")"),0)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IFERROR(__xludf.DUMMYFUNCTION("IMPORTRANGE(""https://docs.google.com/spreadsheets/d/1Yj_ptqi66GCucihVvJfMjLAmec39IyEx_6qawtMGysU/edit?usp=sharing"",""สบก!AE92"")"),0)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IFERROR(__xludf.DUMMYFUNCTION("IMPORTRANGE(""https://docs.google.com/spreadsheets/d/1Yj_ptqi66GCucihVvJfMjLAmec39IyEx_6qawtMGysU/edit?usp=sharing"",""สบก!AF92"")"),0)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IFERROR(__xludf.DUMMYFUNCTION("IMPORTRANGE(""https://docs.google.com/spreadsheets/d/1Yj_ptqi66GCucihVvJfMjLAmec39IyEx_6qawtMGysU/edit?usp=sharing"",""สบก!AG92"")"),0)</f>
        <v>0</v>
      </c>
      <c r="M74" s="101"/>
      <c r="N74" s="91">
        <f ca="1">IFERROR(__xludf.DUMMYFUNCTION("IMPORTRANGE(""https://docs.google.com/spreadsheets/d/1Yj_ptqi66GCucihVvJfMjLAmec39IyEx_6qawtMGysU/edit?usp=sharing"",""สบก!AK92"")"),0)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IFERROR(__xludf.DUMMYFUNCTION("IMPORTRANGE(""https://docs.google.com/spreadsheets/d/1IYY_tgx_IHuhSq3AJ5eI5OnqOPBNLWSHKh2a30DoXe8/edit?usp=sharing"",""สงขลา!J16"")"),0)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IFERROR(__xludf.DUMMYFUNCTION("IMPORTRANGE(""https://docs.google.com/spreadsheets/d/1IYY_tgx_IHuhSq3AJ5eI5OnqOPBNLWSHKh2a30DoXe8/edit?usp=sharing"",""สงขลา!J17"")"),0)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IFERROR(__xludf.DUMMYFUNCTION("IMPORTRANGE(""https://docs.google.com/spreadsheets/d/1IYY_tgx_IHuhSq3AJ5eI5OnqOPBNLWSHKh2a30DoXe8/edit?usp=sharing"",""สงขลา!J18"")"),0)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IFERROR(__xludf.DUMMYFUNCTION("IMPORTRANGE(""https://docs.google.com/spreadsheets/d/1IYY_tgx_IHuhSq3AJ5eI5OnqOPBNLWSHKh2a30DoXe8/edit?usp=sharing"",""สงขลา!J19"")"),0)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IFERROR(__xludf.DUMMYFUNCTION("IMPORTRANGE(""https://docs.google.com/spreadsheets/d/1IYY_tgx_IHuhSq3AJ5eI5OnqOPBNLWSHKh2a30DoXe8/edit?usp=sharing"",""สงขลา!I20"")"),0)</f>
        <v>0</v>
      </c>
      <c r="J80" s="207">
        <f ca="1">IFERROR(__xludf.DUMMYFUNCTION("IMPORTRANGE(""https://docs.google.com/spreadsheets/d/1IYY_tgx_IHuhSq3AJ5eI5OnqOPBNLWSHKh2a30DoXe8/edit?usp=sharing"",""สงขลา!J20"")"),0)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IFERROR(__xludf.DUMMYFUNCTION("IMPORTRANGE(""https://docs.google.com/spreadsheets/d/1IYY_tgx_IHuhSq3AJ5eI5OnqOPBNLWSHKh2a30DoXe8/edit?usp=sharing"",""สงขลา!I21"")"),0)</f>
        <v>0</v>
      </c>
      <c r="J81" s="207">
        <f ca="1">IFERROR(__xludf.DUMMYFUNCTION("IMPORTRANGE(""https://docs.google.com/spreadsheets/d/1IYY_tgx_IHuhSq3AJ5eI5OnqOPBNLWSHKh2a30DoXe8/edit?usp=sharing"",""สงขลา!J21"")"),0)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IFERROR(__xludf.DUMMYFUNCTION("IMPORTRANGE(""https://docs.google.com/spreadsheets/d/1IYY_tgx_IHuhSq3AJ5eI5OnqOPBNLWSHKh2a30DoXe8/edit?usp=sharing"",""สงขลา!I22"")"),0)</f>
        <v>0</v>
      </c>
      <c r="J82" s="210">
        <f ca="1">IFERROR(__xludf.DUMMYFUNCTION("IMPORTRANGE(""https://docs.google.com/spreadsheets/d/1IYY_tgx_IHuhSq3AJ5eI5OnqOPBNLWSHKh2a30DoXe8/edit?usp=sharing"",""สงขลา!J22"")"),0)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IFERROR(__xludf.DUMMYFUNCTION("IMPORTRANGE(""https://docs.google.com/spreadsheets/d/1IYY_tgx_IHuhSq3AJ5eI5OnqOPBNLWSHKh2a30DoXe8/edit?usp=sharing"",""สงขลา!I23"")"),0)</f>
        <v>0</v>
      </c>
      <c r="J83" s="210">
        <f ca="1">IFERROR(__xludf.DUMMYFUNCTION("IMPORTRANGE(""https://docs.google.com/spreadsheets/d/1IYY_tgx_IHuhSq3AJ5eI5OnqOPBNLWSHKh2a30DoXe8/edit?usp=sharing"",""สงขลา!J23"")"),0)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IFERROR(__xludf.DUMMYFUNCTION("IMPORTRANGE(""https://docs.google.com/spreadsheets/d/1IYY_tgx_IHuhSq3AJ5eI5OnqOPBNLWSHKh2a30DoXe8/edit?usp=sharing"",""สงขลา!I24"")"),0)</f>
        <v>0</v>
      </c>
      <c r="J84" s="195">
        <f ca="1">IFERROR(__xludf.DUMMYFUNCTION("IMPORTRANGE(""https://docs.google.com/spreadsheets/d/1IYY_tgx_IHuhSq3AJ5eI5OnqOPBNLWSHKh2a30DoXe8/edit?usp=sharing"",""สงขลา!J24"")"),0)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IFERROR(__xludf.DUMMYFUNCTION("IMPORTRANGE(""https://docs.google.com/spreadsheets/d/1IYY_tgx_IHuhSq3AJ5eI5OnqOPBNLWSHKh2a30DoXe8/edit?usp=sharing"",""สงขลา!I25"")"),0)</f>
        <v>0</v>
      </c>
      <c r="J85" s="195">
        <f ca="1">IFERROR(__xludf.DUMMYFUNCTION("IMPORTRANGE(""https://docs.google.com/spreadsheets/d/1IYY_tgx_IHuhSq3AJ5eI5OnqOPBNLWSHKh2a30DoXe8/edit?usp=sharing"",""สงขลา!J25"")"),0)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IFERROR(__xludf.DUMMYFUNCTION("IMPORTRANGE(""https://docs.google.com/spreadsheets/d/1IYY_tgx_IHuhSq3AJ5eI5OnqOPBNLWSHKh2a30DoXe8/edit?usp=sharing"",""สงขลา!I26"")"),0)</f>
        <v>0</v>
      </c>
      <c r="J86" s="210">
        <f ca="1">IFERROR(__xludf.DUMMYFUNCTION("IMPORTRANGE(""https://docs.google.com/spreadsheets/d/1IYY_tgx_IHuhSq3AJ5eI5OnqOPBNLWSHKh2a30DoXe8/edit?usp=sharing"",""สงขลา!J26"")"),0)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IFERROR(__xludf.DUMMYFUNCTION("IMPORTRANGE(""https://docs.google.com/spreadsheets/d/1IYY_tgx_IHuhSq3AJ5eI5OnqOPBNLWSHKh2a30DoXe8/edit?usp=sharing"",""สงขลา!I27"")"),0)</f>
        <v>0</v>
      </c>
      <c r="J87" s="210">
        <f ca="1">IFERROR(__xludf.DUMMYFUNCTION("IMPORTRANGE(""https://docs.google.com/spreadsheets/d/1IYY_tgx_IHuhSq3AJ5eI5OnqOPBNLWSHKh2a30DoXe8/edit?usp=sharing"",""สงขลา!J27"")"),0)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IFERROR(__xludf.DUMMYFUNCTION("IMPORTRANGE(""https://docs.google.com/spreadsheets/d/1IYY_tgx_IHuhSq3AJ5eI5OnqOPBNLWSHKh2a30DoXe8/edit?usp=sharing"",""สงขลา!I28"")"),0)</f>
        <v>0</v>
      </c>
      <c r="J88" s="210">
        <f ca="1">IFERROR(__xludf.DUMMYFUNCTION("IMPORTRANGE(""https://docs.google.com/spreadsheets/d/1IYY_tgx_IHuhSq3AJ5eI5OnqOPBNLWSHKh2a30DoXe8/edit?usp=sharing"",""สงขลา!J28"")"),0)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IFERROR(__xludf.DUMMYFUNCTION("IMPORTRANGE(""https://docs.google.com/spreadsheets/d/1IYY_tgx_IHuhSq3AJ5eI5OnqOPBNLWSHKh2a30DoXe8/edit?usp=sharing"",""สงขลา!J29"")"),0)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IFERROR(__xludf.DUMMYFUNCTION("IMPORTRANGE(""https://docs.google.com/spreadsheets/d/1IYY_tgx_IHuhSq3AJ5eI5OnqOPBNLWSHKh2a30DoXe8/edit?usp=sharing"",""สงขลา!J30"")"),0)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IFERROR(__xludf.DUMMYFUNCTION("IMPORTRANGE(""https://docs.google.com/spreadsheets/d/1IYY_tgx_IHuhSq3AJ5eI5OnqOPBNLWSHKh2a30DoXe8/edit?usp=sharing"",""สงขลา!I32"")"),0)</f>
        <v>0</v>
      </c>
      <c r="J92" s="146">
        <f ca="1">IFERROR(__xludf.DUMMYFUNCTION("IMPORTRANGE(""https://docs.google.com/spreadsheets/d/1IYY_tgx_IHuhSq3AJ5eI5OnqOPBNLWSHKh2a30DoXe8/edit?usp=sharing"",""สงขลา!J32"")"),0)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IFERROR(__xludf.DUMMYFUNCTION("IMPORTRANGE(""https://docs.google.com/spreadsheets/d/1IYY_tgx_IHuhSq3AJ5eI5OnqOPBNLWSHKh2a30DoXe8/edit?usp=sharing"",""สงขลา!I33"")"),0)</f>
        <v>0</v>
      </c>
      <c r="J93" s="146">
        <f ca="1">IFERROR(__xludf.DUMMYFUNCTION("IMPORTRANGE(""https://docs.google.com/spreadsheets/d/1IYY_tgx_IHuhSq3AJ5eI5OnqOPBNLWSHKh2a30DoXe8/edit?usp=sharing"",""สงขลา!J33"")"),0)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IFERROR(__xludf.DUMMYFUNCTION("IMPORTRANGE(""https://docs.google.com/spreadsheets/d/1Yj_ptqi66GCucihVvJfMjLAmec39IyEx_6qawtMGysU/edit?usp=sharing"",""สบก!AR92"")"),0)</f>
        <v>0</v>
      </c>
      <c r="N98" s="174">
        <f ca="1">IFERROR(__xludf.DUMMYFUNCTION("IMPORTRANGE(""https://docs.google.com/spreadsheets/d/1Yj_ptqi66GCucihVvJfMjLAmec39IyEx_6qawtMGysU/edit?usp=sharing"",""สบก!AS92"")"),0)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IFERROR(__xludf.DUMMYFUNCTION("IMPORTRANGE(""https://docs.google.com/spreadsheets/d/1Yj_ptqi66GCucihVvJfMjLAmec39IyEx_6qawtMGysU/edit?usp=sharing"",""สบก!AN92"")"),0)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IFERROR(__xludf.DUMMYFUNCTION("IMPORTRANGE(""https://docs.google.com/spreadsheets/d/1Yj_ptqi66GCucihVvJfMjLAmec39IyEx_6qawtMGysU/edit?usp=sharing"",""สบก!AO92"")"),0)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IFERROR(__xludf.DUMMYFUNCTION("IMPORTRANGE(""https://docs.google.com/spreadsheets/d/1Yj_ptqi66GCucihVvJfMjLAmec39IyEx_6qawtMGysU/edit?usp=sharing"",""สบก!AP92"")"),0)</f>
        <v>0</v>
      </c>
      <c r="M102" s="101"/>
      <c r="N102" s="91">
        <f ca="1">IFERROR(__xludf.DUMMYFUNCTION("IMPORTRANGE(""https://docs.google.com/spreadsheets/d/1Yj_ptqi66GCucihVvJfMjLAmec39IyEx_6qawtMGysU/edit?usp=sharing"",""สบก!AT92"")"),0)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IFERROR(__xludf.DUMMYFUNCTION("IMPORTRANGE(""https://docs.google.com/spreadsheets/d/1IYY_tgx_IHuhSq3AJ5eI5OnqOPBNLWSHKh2a30DoXe8/edit?usp=sharing"",""สงขลา!J39"")"),0)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IFERROR(__xludf.DUMMYFUNCTION("IMPORTRANGE(""https://docs.google.com/spreadsheets/d/1IYY_tgx_IHuhSq3AJ5eI5OnqOPBNLWSHKh2a30DoXe8/edit?usp=sharing"",""สงขลา!J40"")"),0)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IFERROR(__xludf.DUMMYFUNCTION("IMPORTRANGE(""https://docs.google.com/spreadsheets/d/1IYY_tgx_IHuhSq3AJ5eI5OnqOPBNLWSHKh2a30DoXe8/edit?usp=sharing"",""สงขลา!J41"")"),0)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IFERROR(__xludf.DUMMYFUNCTION("IMPORTRANGE(""https://docs.google.com/spreadsheets/d/1IYY_tgx_IHuhSq3AJ5eI5OnqOPBNLWSHKh2a30DoXe8/edit?usp=sharing"",""สงขลา!J42"")"),0)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IFERROR(__xludf.DUMMYFUNCTION("IMPORTRANGE(""https://docs.google.com/spreadsheets/d/1IYY_tgx_IHuhSq3AJ5eI5OnqOPBNLWSHKh2a30DoXe8/edit?usp=sharing"",""สงขลา!I43"")"),0)</f>
        <v>0</v>
      </c>
      <c r="J108" s="210">
        <f ca="1">IFERROR(__xludf.DUMMYFUNCTION("IMPORTRANGE(""https://docs.google.com/spreadsheets/d/1IYY_tgx_IHuhSq3AJ5eI5OnqOPBNLWSHKh2a30DoXe8/edit?usp=sharing"",""สงขลา!J43"")"),0)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IFERROR(__xludf.DUMMYFUNCTION("IMPORTRANGE(""https://docs.google.com/spreadsheets/d/1IYY_tgx_IHuhSq3AJ5eI5OnqOPBNLWSHKh2a30DoXe8/edit?usp=sharing"",""สงขลา!I44"")"),0)</f>
        <v>0</v>
      </c>
      <c r="J109" s="210">
        <f ca="1">IFERROR(__xludf.DUMMYFUNCTION("IMPORTRANGE(""https://docs.google.com/spreadsheets/d/1IYY_tgx_IHuhSq3AJ5eI5OnqOPBNLWSHKh2a30DoXe8/edit?usp=sharing"",""สงขลา!J44"")"),0)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IFERROR(__xludf.DUMMYFUNCTION("IMPORTRANGE(""https://docs.google.com/spreadsheets/d/1IYY_tgx_IHuhSq3AJ5eI5OnqOPBNLWSHKh2a30DoXe8/edit?usp=sharing"",""สงขลา!I45"")"),0)</f>
        <v>0</v>
      </c>
      <c r="J110" s="210">
        <f ca="1">IFERROR(__xludf.DUMMYFUNCTION("IMPORTRANGE(""https://docs.google.com/spreadsheets/d/1IYY_tgx_IHuhSq3AJ5eI5OnqOPBNLWSHKh2a30DoXe8/edit?usp=sharing"",""สงขลา!J45"")"),0)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IFERROR(__xludf.DUMMYFUNCTION("IMPORTRANGE(""https://docs.google.com/spreadsheets/d/1IYY_tgx_IHuhSq3AJ5eI5OnqOPBNLWSHKh2a30DoXe8/edit?usp=sharing"",""สงขลา!I46"")"),0)</f>
        <v>0</v>
      </c>
      <c r="J111" s="210">
        <f ca="1">IFERROR(__xludf.DUMMYFUNCTION("IMPORTRANGE(""https://docs.google.com/spreadsheets/d/1IYY_tgx_IHuhSq3AJ5eI5OnqOPBNLWSHKh2a30DoXe8/edit?usp=sharing"",""สงขลา!J46"")"),0)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IFERROR(__xludf.DUMMYFUNCTION("IMPORTRANGE(""https://docs.google.com/spreadsheets/d/1IYY_tgx_IHuhSq3AJ5eI5OnqOPBNLWSHKh2a30DoXe8/edit?usp=sharing"",""สงขลา!I47"")"),0)</f>
        <v>0</v>
      </c>
      <c r="J112" s="210">
        <f ca="1">IFERROR(__xludf.DUMMYFUNCTION("IMPORTRANGE(""https://docs.google.com/spreadsheets/d/1IYY_tgx_IHuhSq3AJ5eI5OnqOPBNLWSHKh2a30DoXe8/edit?usp=sharing"",""สงขลา!J47"")"),0)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IFERROR(__xludf.DUMMYFUNCTION("IMPORTRANGE(""https://docs.google.com/spreadsheets/d/1IYY_tgx_IHuhSq3AJ5eI5OnqOPBNLWSHKh2a30DoXe8/edit?usp=sharing"",""สงขลา!I48"")"),0)</f>
        <v>0</v>
      </c>
      <c r="J113" s="210">
        <f ca="1">IFERROR(__xludf.DUMMYFUNCTION("IMPORTRANGE(""https://docs.google.com/spreadsheets/d/1IYY_tgx_IHuhSq3AJ5eI5OnqOPBNLWSHKh2a30DoXe8/edit?usp=sharing"",""สงขลา!J48"")"),0)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IFERROR(__xludf.DUMMYFUNCTION("IMPORTRANGE(""https://docs.google.com/spreadsheets/d/1IYY_tgx_IHuhSq3AJ5eI5OnqOPBNLWSHKh2a30DoXe8/edit?usp=sharing"",""สงขลา!J49"")"),0)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IFERROR(__xludf.DUMMYFUNCTION("IMPORTRANGE(""https://docs.google.com/spreadsheets/d/1IYY_tgx_IHuhSq3AJ5eI5OnqOPBNLWSHKh2a30DoXe8/edit?usp=sharing"",""สงขลา!J50"")"),0)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IFERROR(__xludf.DUMMYFUNCTION("IMPORTRANGE(""https://docs.google.com/spreadsheets/d/1IYY_tgx_IHuhSq3AJ5eI5OnqOPBNLWSHKh2a30DoXe8/edit?usp=sharing"",""สงขลา!I52"")"),15)</f>
        <v>15</v>
      </c>
      <c r="J117" s="146">
        <f ca="1">IFERROR(__xludf.DUMMYFUNCTION("IMPORTRANGE(""https://docs.google.com/spreadsheets/d/1IYY_tgx_IHuhSq3AJ5eI5OnqOPBNLWSHKh2a30DoXe8/edit?usp=sharing"",""สงขลา!J52"")"),15)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46950</v>
      </c>
      <c r="O118" s="155">
        <f t="shared" ref="O118:O120" ca="1" si="59">IF(L118&gt;0,N118*100/L118,0)</f>
        <v>72.353213129912163</v>
      </c>
      <c r="P118" s="155">
        <f t="shared" ref="P118:P120" ca="1" si="60">IF(M118&gt;0,N118*100/M118,0)</f>
        <v>72.353213129912163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46950</v>
      </c>
      <c r="O120" s="160">
        <f t="shared" ca="1" si="59"/>
        <v>72.353213129912163</v>
      </c>
      <c r="P120" s="160">
        <f t="shared" ca="1" si="60"/>
        <v>72.353213129912163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IFERROR(__xludf.DUMMYFUNCTION("IMPORTRANGE(""https://docs.google.com/spreadsheets/d/1Yj_ptqi66GCucihVvJfMjLAmec39IyEx_6qawtMGysU/edit?usp=sharing"",""สบก!BA92"")"),64890)</f>
        <v>64890</v>
      </c>
      <c r="N122" s="174">
        <f ca="1">IFERROR(__xludf.DUMMYFUNCTION("IMPORTRANGE(""https://docs.google.com/spreadsheets/d/1Yj_ptqi66GCucihVvJfMjLAmec39IyEx_6qawtMGysU/edit?usp=sharing"",""สบก!BB92"")"),46950)</f>
        <v>46950</v>
      </c>
      <c r="O122" s="175">
        <f ca="1">IF(L122&gt;0,N122*100/L122,0)</f>
        <v>72.353213129912163</v>
      </c>
      <c r="P122" s="175">
        <f ca="1">IF(M122&gt;0,N122*100/M122,0)</f>
        <v>72.353213129912163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IFERROR(__xludf.DUMMYFUNCTION("IMPORTRANGE(""https://docs.google.com/spreadsheets/d/1Yj_ptqi66GCucihVvJfMjLAmec39IyEx_6qawtMGysU/edit?usp=sharing"",""สบก!AW92"")"),0)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IFERROR(__xludf.DUMMYFUNCTION("IMPORTRANGE(""https://docs.google.com/spreadsheets/d/1Yj_ptqi66GCucihVvJfMjLAmec39IyEx_6qawtMGysU/edit?usp=sharing"",""สบก!AX92"")"),64890)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IFERROR(__xludf.DUMMYFUNCTION("IMPORTRANGE(""https://docs.google.com/spreadsheets/d/1Yj_ptqi66GCucihVvJfMjLAmec39IyEx_6qawtMGysU/edit?usp=sharing"",""สบก!AY92"")"),0)</f>
        <v>0</v>
      </c>
      <c r="M126" s="101"/>
      <c r="N126" s="91">
        <f ca="1">IFERROR(__xludf.DUMMYFUNCTION("IMPORTRANGE(""https://docs.google.com/spreadsheets/d/1Yj_ptqi66GCucihVvJfMjLAmec39IyEx_6qawtMGysU/edit?usp=sharing"",""สบก!BC92"")"),0)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IFERROR(__xludf.DUMMYFUNCTION("IMPORTRANGE(""https://docs.google.com/spreadsheets/d/1IYY_tgx_IHuhSq3AJ5eI5OnqOPBNLWSHKh2a30DoXe8/edit?usp=sharing"",""สงขลา!J58"")"),0)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IFERROR(__xludf.DUMMYFUNCTION("IMPORTRANGE(""https://docs.google.com/spreadsheets/d/1IYY_tgx_IHuhSq3AJ5eI5OnqOPBNLWSHKh2a30DoXe8/edit?usp=sharing"",""สงขลา!J59"")"),1)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IFERROR(__xludf.DUMMYFUNCTION("IMPORTRANGE(""https://docs.google.com/spreadsheets/d/1IYY_tgx_IHuhSq3AJ5eI5OnqOPBNLWSHKh2a30DoXe8/edit?usp=sharing"",""สงขลา!J60"")"),1)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IFERROR(__xludf.DUMMYFUNCTION("IMPORTRANGE(""https://docs.google.com/spreadsheets/d/1IYY_tgx_IHuhSq3AJ5eI5OnqOPBNLWSHKh2a30DoXe8/edit?usp=sharing"",""สงขลา!J61"")"),1)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IFERROR(__xludf.DUMMYFUNCTION("IMPORTRANGE(""https://docs.google.com/spreadsheets/d/1IYY_tgx_IHuhSq3AJ5eI5OnqOPBNLWSHKh2a30DoXe8/edit?usp=sharing"",""สงขลา!I62"")"),15)</f>
        <v>15</v>
      </c>
      <c r="J132" s="210">
        <f ca="1">IFERROR(__xludf.DUMMYFUNCTION("IMPORTRANGE(""https://docs.google.com/spreadsheets/d/1IYY_tgx_IHuhSq3AJ5eI5OnqOPBNLWSHKh2a30DoXe8/edit?usp=sharing"",""สงขลา!J62"")"),15)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IFERROR(__xludf.DUMMYFUNCTION("IMPORTRANGE(""https://docs.google.com/spreadsheets/d/1IYY_tgx_IHuhSq3AJ5eI5OnqOPBNLWSHKh2a30DoXe8/edit?usp=sharing"",""สงขลา!I63"")"),15)</f>
        <v>15</v>
      </c>
      <c r="J133" s="210">
        <f ca="1">IFERROR(__xludf.DUMMYFUNCTION("IMPORTRANGE(""https://docs.google.com/spreadsheets/d/1IYY_tgx_IHuhSq3AJ5eI5OnqOPBNLWSHKh2a30DoXe8/edit?usp=sharing"",""สงขลา!J63"")"),15)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IFERROR(__xludf.DUMMYFUNCTION("IMPORTRANGE(""https://docs.google.com/spreadsheets/d/1IYY_tgx_IHuhSq3AJ5eI5OnqOPBNLWSHKh2a30DoXe8/edit?usp=sharing"",""สงขลา!J64"")"),0)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IFERROR(__xludf.DUMMYFUNCTION("IMPORTRANGE(""https://docs.google.com/spreadsheets/d/1IYY_tgx_IHuhSq3AJ5eI5OnqOPBNLWSHKh2a30DoXe8/edit?usp=sharing"",""สงขลา!J65"")"),0)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IFERROR(__xludf.DUMMYFUNCTION("IMPORTRANGE(""https://docs.google.com/spreadsheets/d/1IYY_tgx_IHuhSq3AJ5eI5OnqOPBNLWSHKh2a30DoXe8/edit?usp=sharing"",""สงขลา!I68"")"),0)</f>
        <v>0</v>
      </c>
      <c r="J138" s="273">
        <f ca="1">IFERROR(__xludf.DUMMYFUNCTION("IMPORTRANGE(""https://docs.google.com/spreadsheets/d/1IYY_tgx_IHuhSq3AJ5eI5OnqOPBNLWSHKh2a30DoXe8/edit?usp=sharing"",""สงขลา!J68"")"),0)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204900</v>
      </c>
      <c r="M140" s="156">
        <f t="shared" ca="1" si="64"/>
        <v>194625</v>
      </c>
      <c r="N140" s="156">
        <f t="shared" ca="1" si="64"/>
        <v>132580</v>
      </c>
      <c r="O140" s="155">
        <f t="shared" ref="O140:O142" ca="1" si="65">IF(L140&gt;0,N140*100/L140,0)</f>
        <v>64.704734016593463</v>
      </c>
      <c r="P140" s="155">
        <f t="shared" ref="P140:P142" ca="1" si="66">IF(M140&gt;0,N140*100/M140,0)</f>
        <v>68.120745022479127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204900</v>
      </c>
      <c r="M142" s="161">
        <f t="shared" ca="1" si="68"/>
        <v>194625</v>
      </c>
      <c r="N142" s="161">
        <f t="shared" ca="1" si="68"/>
        <v>132580</v>
      </c>
      <c r="O142" s="160">
        <f t="shared" ca="1" si="65"/>
        <v>64.704734016593463</v>
      </c>
      <c r="P142" s="160">
        <f t="shared" ca="1" si="66"/>
        <v>68.120745022479127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204900</v>
      </c>
      <c r="M144" s="173">
        <f ca="1">IFERROR(__xludf.DUMMYFUNCTION("IMPORTRANGE(""https://docs.google.com/spreadsheets/d/1Yj_ptqi66GCucihVvJfMjLAmec39IyEx_6qawtMGysU/edit?usp=sharing"",""สบก!BJ92"")"),194625)</f>
        <v>194625</v>
      </c>
      <c r="N144" s="174">
        <f ca="1">IFERROR(__xludf.DUMMYFUNCTION("IMPORTRANGE(""https://docs.google.com/spreadsheets/d/1Yj_ptqi66GCucihVvJfMjLAmec39IyEx_6qawtMGysU/edit?usp=sharing"",""สบก!BK92"")"),132580)</f>
        <v>132580</v>
      </c>
      <c r="O144" s="175">
        <f ca="1">IF(L144&gt;0,N144*100/L144,0)</f>
        <v>64.704734016593463</v>
      </c>
      <c r="P144" s="175">
        <f ca="1">IF(M144&gt;0,N144*100/M144,0)</f>
        <v>68.120745022479127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IFERROR(__xludf.DUMMYFUNCTION("IMPORTRANGE(""https://docs.google.com/spreadsheets/d/1Yj_ptqi66GCucihVvJfMjLAmec39IyEx_6qawtMGysU/edit?usp=sharing"",""สบก!BF92"")"),0)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IFERROR(__xludf.DUMMYFUNCTION("IMPORTRANGE(""https://docs.google.com/spreadsheets/d/1Yj_ptqi66GCucihVvJfMjLAmec39IyEx_6qawtMGysU/edit?usp=sharing"",""สบก!BG92"")"),204900)</f>
        <v>204900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IFERROR(__xludf.DUMMYFUNCTION("IMPORTRANGE(""https://docs.google.com/spreadsheets/d/1Yj_ptqi66GCucihVvJfMjLAmec39IyEx_6qawtMGysU/edit?usp=sharing"",""สบก!BH92"")"),0)</f>
        <v>0</v>
      </c>
      <c r="M148" s="101"/>
      <c r="N148" s="91">
        <f ca="1">IFERROR(__xludf.DUMMYFUNCTION("IMPORTRANGE(""https://docs.google.com/spreadsheets/d/1Yj_ptqi66GCucihVvJfMjLAmec39IyEx_6qawtMGysU/edit?usp=sharing"",""สบก!BL92"")"),0)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IFERROR(__xludf.DUMMYFUNCTION("IMPORTRANGE(""https://docs.google.com/spreadsheets/d/1IYY_tgx_IHuhSq3AJ5eI5OnqOPBNLWSHKh2a30DoXe8/edit?usp=sharing"",""สงขลา!I74"")"),4)</f>
        <v>4</v>
      </c>
      <c r="J149" s="281">
        <f ca="1">IFERROR(__xludf.DUMMYFUNCTION("IMPORTRANGE(""https://docs.google.com/spreadsheets/d/1IYY_tgx_IHuhSq3AJ5eI5OnqOPBNLWSHKh2a30DoXe8/edit?usp=sharing"",""สงขลา!J74"")"),1)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IFERROR(__xludf.DUMMYFUNCTION("IMPORTRANGE(""https://docs.google.com/spreadsheets/d/1IYY_tgx_IHuhSq3AJ5eI5OnqOPBNLWSHKh2a30DoXe8/edit?usp=sharing"",""สงขลา!J79"")"),0)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IFERROR(__xludf.DUMMYFUNCTION("IMPORTRANGE(""https://docs.google.com/spreadsheets/d/1IYY_tgx_IHuhSq3AJ5eI5OnqOPBNLWSHKh2a30DoXe8/edit?usp=sharing"",""สงขลา!J80"")"),1)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IFERROR(__xludf.DUMMYFUNCTION("IMPORTRANGE(""https://docs.google.com/spreadsheets/d/1IYY_tgx_IHuhSq3AJ5eI5OnqOPBNLWSHKh2a30DoXe8/edit?usp=sharing"",""สงขลา!J81"")"),1)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IFERROR(__xludf.DUMMYFUNCTION("IMPORTRANGE(""https://docs.google.com/spreadsheets/d/1IYY_tgx_IHuhSq3AJ5eI5OnqOPBNLWSHKh2a30DoXe8/edit?usp=sharing"",""สงขลา!J82"")"),1)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IFERROR(__xludf.DUMMYFUNCTION("IMPORTRANGE(""https://docs.google.com/spreadsheets/d/1IYY_tgx_IHuhSq3AJ5eI5OnqOPBNLWSHKh2a30DoXe8/edit?usp=sharing"",""สงขลา!I83"")"),4)</f>
        <v>4</v>
      </c>
      <c r="J158" s="195">
        <f ca="1">IFERROR(__xludf.DUMMYFUNCTION("IMPORTRANGE(""https://docs.google.com/spreadsheets/d/1IYY_tgx_IHuhSq3AJ5eI5OnqOPBNLWSHKh2a30DoXe8/edit?usp=sharing"",""สงขลา!J83"")"),1)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IFERROR(__xludf.DUMMYFUNCTION("IMPORTRANGE(""https://docs.google.com/spreadsheets/d/1IYY_tgx_IHuhSq3AJ5eI5OnqOPBNLWSHKh2a30DoXe8/edit?usp=sharing"",""สงขลา!J84"")"),34)</f>
        <v>34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IFERROR(__xludf.DUMMYFUNCTION("IMPORTRANGE(""https://docs.google.com/spreadsheets/d/1IYY_tgx_IHuhSq3AJ5eI5OnqOPBNLWSHKh2a30DoXe8/edit?usp=sharing"",""สงขลา!J85"")"),34)</f>
        <v>34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IFERROR(__xludf.DUMMYFUNCTION("IMPORTRANGE(""https://docs.google.com/spreadsheets/d/1IYY_tgx_IHuhSq3AJ5eI5OnqOPBNLWSHKh2a30DoXe8/edit?usp=sharing"",""สงขลา!J86"")"),0)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IFERROR(__xludf.DUMMYFUNCTION("IMPORTRANGE(""https://docs.google.com/spreadsheets/d/1IYY_tgx_IHuhSq3AJ5eI5OnqOPBNLWSHKh2a30DoXe8/edit?usp=sharing"",""สงขลา!J87"")"),0)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IFERROR(__xludf.DUMMYFUNCTION("IMPORTRANGE(""https://docs.google.com/spreadsheets/d/1IYY_tgx_IHuhSq3AJ5eI5OnqOPBNLWSHKh2a30DoXe8/edit?usp=sharing"",""สงขลา!J88"")"),0)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IFERROR(__xludf.DUMMYFUNCTION("IMPORTRANGE(""https://docs.google.com/spreadsheets/d/1IYY_tgx_IHuhSq3AJ5eI5OnqOPBNLWSHKh2a30DoXe8/edit?usp=sharing"",""สงขลา!I89"")"),6)</f>
        <v>6</v>
      </c>
      <c r="J164" s="290">
        <f ca="1">IFERROR(__xludf.DUMMYFUNCTION("IMPORTRANGE(""https://docs.google.com/spreadsheets/d/1IYY_tgx_IHuhSq3AJ5eI5OnqOPBNLWSHKh2a30DoXe8/edit?usp=sharing"",""สงขลา!J89"")"),6)</f>
        <v>6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IFERROR(__xludf.DUMMYFUNCTION("IMPORTRANGE(""https://docs.google.com/spreadsheets/d/1IYY_tgx_IHuhSq3AJ5eI5OnqOPBNLWSHKh2a30DoXe8/edit?usp=sharing"",""สงขลา!J94"")"),0)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IFERROR(__xludf.DUMMYFUNCTION("IMPORTRANGE(""https://docs.google.com/spreadsheets/d/1IYY_tgx_IHuhSq3AJ5eI5OnqOPBNLWSHKh2a30DoXe8/edit?usp=sharing"",""สงขลา!J95"")"),1)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IFERROR(__xludf.DUMMYFUNCTION("IMPORTRANGE(""https://docs.google.com/spreadsheets/d/1IYY_tgx_IHuhSq3AJ5eI5OnqOPBNLWSHKh2a30DoXe8/edit?usp=sharing"",""สงขลา!J96"")"),1)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IFERROR(__xludf.DUMMYFUNCTION("IMPORTRANGE(""https://docs.google.com/spreadsheets/d/1IYY_tgx_IHuhSq3AJ5eI5OnqOPBNLWSHKh2a30DoXe8/edit?usp=sharing"",""สงขลา!J97"")"),1)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IFERROR(__xludf.DUMMYFUNCTION("IMPORTRANGE(""https://docs.google.com/spreadsheets/d/1IYY_tgx_IHuhSq3AJ5eI5OnqOPBNLWSHKh2a30DoXe8/edit?usp=sharing"",""สงขลา!I98"")"),6)</f>
        <v>6</v>
      </c>
      <c r="J173" s="195">
        <f ca="1">IFERROR(__xludf.DUMMYFUNCTION("IMPORTRANGE(""https://docs.google.com/spreadsheets/d/1IYY_tgx_IHuhSq3AJ5eI5OnqOPBNLWSHKh2a30DoXe8/edit?usp=sharing"",""สงขลา!J98"")"),6)</f>
        <v>6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IFERROR(__xludf.DUMMYFUNCTION("IMPORTRANGE(""https://docs.google.com/spreadsheets/d/1IYY_tgx_IHuhSq3AJ5eI5OnqOPBNLWSHKh2a30DoXe8/edit?usp=sharing"",""สงขลา!J99"")"),0)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IFERROR(__xludf.DUMMYFUNCTION("IMPORTRANGE(""https://docs.google.com/spreadsheets/d/1IYY_tgx_IHuhSq3AJ5eI5OnqOPBNLWSHKh2a30DoXe8/edit?usp=sharing"",""สงขลา!J100"")"),0)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IFERROR(__xludf.DUMMYFUNCTION("IMPORTRANGE(""https://docs.google.com/spreadsheets/d/1IYY_tgx_IHuhSq3AJ5eI5OnqOPBNLWSHKh2a30DoXe8/edit?usp=sharing"",""สงขลา!I101"")"),7)</f>
        <v>7</v>
      </c>
      <c r="J176" s="290">
        <f ca="1">IFERROR(__xludf.DUMMYFUNCTION("IMPORTRANGE(""https://docs.google.com/spreadsheets/d/1IYY_tgx_IHuhSq3AJ5eI5OnqOPBNLWSHKh2a30DoXe8/edit?usp=sharing"",""สงขลา!J101"")"),7)</f>
        <v>7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IFERROR(__xludf.DUMMYFUNCTION("IMPORTRANGE(""https://docs.google.com/spreadsheets/d/1IYY_tgx_IHuhSq3AJ5eI5OnqOPBNLWSHKh2a30DoXe8/edit?usp=sharing"",""สงขลา!J106"")"),0)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IFERROR(__xludf.DUMMYFUNCTION("IMPORTRANGE(""https://docs.google.com/spreadsheets/d/1IYY_tgx_IHuhSq3AJ5eI5OnqOPBNLWSHKh2a30DoXe8/edit?usp=sharing"",""สงขลา!J107"")"),1)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IFERROR(__xludf.DUMMYFUNCTION("IMPORTRANGE(""https://docs.google.com/spreadsheets/d/1IYY_tgx_IHuhSq3AJ5eI5OnqOPBNLWSHKh2a30DoXe8/edit?usp=sharing"",""สงขลา!J108"")"),1)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IFERROR(__xludf.DUMMYFUNCTION("IMPORTRANGE(""https://docs.google.com/spreadsheets/d/1IYY_tgx_IHuhSq3AJ5eI5OnqOPBNLWSHKh2a30DoXe8/edit?usp=sharing"",""สงขลา!J109"")"),1)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IFERROR(__xludf.DUMMYFUNCTION("IMPORTRANGE(""https://docs.google.com/spreadsheets/d/1IYY_tgx_IHuhSq3AJ5eI5OnqOPBNLWSHKh2a30DoXe8/edit?usp=sharing"",""สงขลา!I110"")"),7)</f>
        <v>7</v>
      </c>
      <c r="J185" s="210">
        <f ca="1">IFERROR(__xludf.DUMMYFUNCTION("IMPORTRANGE(""https://docs.google.com/spreadsheets/d/1IYY_tgx_IHuhSq3AJ5eI5OnqOPBNLWSHKh2a30DoXe8/edit?usp=sharing"",""สงขลา!J110"")"),0)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IFERROR(__xludf.DUMMYFUNCTION("IMPORTRANGE(""https://docs.google.com/spreadsheets/d/1IYY_tgx_IHuhSq3AJ5eI5OnqOPBNLWSHKh2a30DoXe8/edit?usp=sharing"",""สงขลา!I111"")"),7)</f>
        <v>7</v>
      </c>
      <c r="J186" s="210">
        <f ca="1">IFERROR(__xludf.DUMMYFUNCTION("IMPORTRANGE(""https://docs.google.com/spreadsheets/d/1IYY_tgx_IHuhSq3AJ5eI5OnqOPBNLWSHKh2a30DoXe8/edit?usp=sharing"",""สงขลา!J111"")"),7)</f>
        <v>7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IFERROR(__xludf.DUMMYFUNCTION("IMPORTRANGE(""https://docs.google.com/spreadsheets/d/1IYY_tgx_IHuhSq3AJ5eI5OnqOPBNLWSHKh2a30DoXe8/edit?usp=sharing"",""สงขลา!J112"")"),0)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IFERROR(__xludf.DUMMYFUNCTION("IMPORTRANGE(""https://docs.google.com/spreadsheets/d/1IYY_tgx_IHuhSq3AJ5eI5OnqOPBNLWSHKh2a30DoXe8/edit?usp=sharing"",""สงขลา!J113"")"),0)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IFERROR(__xludf.DUMMYFUNCTION("IMPORTRANGE(""https://docs.google.com/spreadsheets/d/1IYY_tgx_IHuhSq3AJ5eI5OnqOPBNLWSHKh2a30DoXe8/edit?usp=sharing"",""สงขลา!I114"")"),15000)</f>
        <v>15000</v>
      </c>
      <c r="J189" s="290">
        <f ca="1">IFERROR(__xludf.DUMMYFUNCTION("IMPORTRANGE(""https://docs.google.com/spreadsheets/d/1IYY_tgx_IHuhSq3AJ5eI5OnqOPBNLWSHKh2a30DoXe8/edit?usp=sharing"",""สงขลา!J114"")"),0)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IFERROR(__xludf.DUMMYFUNCTION("IMPORTRANGE(""https://docs.google.com/spreadsheets/d/1IYY_tgx_IHuhSq3AJ5eI5OnqOPBNLWSHKh2a30DoXe8/edit?usp=sharing"",""สงขลา!J119"")"),0)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IFERROR(__xludf.DUMMYFUNCTION("IMPORTRANGE(""https://docs.google.com/spreadsheets/d/1IYY_tgx_IHuhSq3AJ5eI5OnqOPBNLWSHKh2a30DoXe8/edit?usp=sharing"",""สงขลา!J120"")"),1)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IFERROR(__xludf.DUMMYFUNCTION("IMPORTRANGE(""https://docs.google.com/spreadsheets/d/1IYY_tgx_IHuhSq3AJ5eI5OnqOPBNLWSHKh2a30DoXe8/edit?usp=sharing"",""สงขลา!J121"")"),1)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IFERROR(__xludf.DUMMYFUNCTION("IMPORTRANGE(""https://docs.google.com/spreadsheets/d/1IYY_tgx_IHuhSq3AJ5eI5OnqOPBNLWSHKh2a30DoXe8/edit?usp=sharing"",""สงขลา!J122"")"),1)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IFERROR(__xludf.DUMMYFUNCTION("IMPORTRANGE(""https://docs.google.com/spreadsheets/d/1IYY_tgx_IHuhSq3AJ5eI5OnqOPBNLWSHKh2a30DoXe8/edit?usp=sharing"",""สงขลา!I124"")"),15000)</f>
        <v>15000</v>
      </c>
      <c r="J199" s="195">
        <f ca="1">IFERROR(__xludf.DUMMYFUNCTION("IMPORTRANGE(""https://docs.google.com/spreadsheets/d/1IYY_tgx_IHuhSq3AJ5eI5OnqOPBNLWSHKh2a30DoXe8/edit?usp=sharing"",""สงขลา!J124"")"),0)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IFERROR(__xludf.DUMMYFUNCTION("IMPORTRANGE(""https://docs.google.com/spreadsheets/d/1IYY_tgx_IHuhSq3AJ5eI5OnqOPBNLWSHKh2a30DoXe8/edit?usp=sharing"",""สงขลา!I125"")"),15000)</f>
        <v>15000</v>
      </c>
      <c r="J200" s="195">
        <f ca="1">IFERROR(__xludf.DUMMYFUNCTION("IMPORTRANGE(""https://docs.google.com/spreadsheets/d/1IYY_tgx_IHuhSq3AJ5eI5OnqOPBNLWSHKh2a30DoXe8/edit?usp=sharing"",""สงขลา!J125"")"),0)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IFERROR(__xludf.DUMMYFUNCTION("IMPORTRANGE(""https://docs.google.com/spreadsheets/d/1IYY_tgx_IHuhSq3AJ5eI5OnqOPBNLWSHKh2a30DoXe8/edit?usp=sharing"",""สงขลา!I126"")"),0)</f>
        <v>0</v>
      </c>
      <c r="J201" s="195">
        <f ca="1">IFERROR(__xludf.DUMMYFUNCTION("IMPORTRANGE(""https://docs.google.com/spreadsheets/d/1IYY_tgx_IHuhSq3AJ5eI5OnqOPBNLWSHKh2a30DoXe8/edit?usp=sharing"",""สงขลา!J126"")"),0)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IFERROR(__xludf.DUMMYFUNCTION("IMPORTRANGE(""https://docs.google.com/spreadsheets/d/1IYY_tgx_IHuhSq3AJ5eI5OnqOPBNLWSHKh2a30DoXe8/edit?usp=sharing"",""สงขลา!J127"")"),0)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IFERROR(__xludf.DUMMYFUNCTION("IMPORTRANGE(""https://docs.google.com/spreadsheets/d/1IYY_tgx_IHuhSq3AJ5eI5OnqOPBNLWSHKh2a30DoXe8/edit?usp=sharing"",""สงขลา!J128"")"),0)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IFERROR(__xludf.DUMMYFUNCTION("IMPORTRANGE(""https://docs.google.com/spreadsheets/d/1IYY_tgx_IHuhSq3AJ5eI5OnqOPBNLWSHKh2a30DoXe8/edit?usp=sharing"",""สงขลา!I129"")"),0)</f>
        <v>0</v>
      </c>
      <c r="J204" s="290">
        <f ca="1">IFERROR(__xludf.DUMMYFUNCTION("IMPORTRANGE(""https://docs.google.com/spreadsheets/d/1IYY_tgx_IHuhSq3AJ5eI5OnqOPBNLWSHKh2a30DoXe8/edit?usp=sharing"",""สงขลา!J129"")"),0)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IFERROR(__xludf.DUMMYFUNCTION("IMPORTRANGE(""https://docs.google.com/spreadsheets/d/1IYY_tgx_IHuhSq3AJ5eI5OnqOPBNLWSHKh2a30DoXe8/edit?usp=sharing"",""สงขลา!J134"")"),0)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IFERROR(__xludf.DUMMYFUNCTION("IMPORTRANGE(""https://docs.google.com/spreadsheets/d/1IYY_tgx_IHuhSq3AJ5eI5OnqOPBNLWSHKh2a30DoXe8/edit?usp=sharing"",""สงขลา!J135"")"),0)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IFERROR(__xludf.DUMMYFUNCTION("IMPORTRANGE(""https://docs.google.com/spreadsheets/d/1IYY_tgx_IHuhSq3AJ5eI5OnqOPBNLWSHKh2a30DoXe8/edit?usp=sharing"",""สงขลา!J136"")"),0)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IFERROR(__xludf.DUMMYFUNCTION("IMPORTRANGE(""https://docs.google.com/spreadsheets/d/1IYY_tgx_IHuhSq3AJ5eI5OnqOPBNLWSHKh2a30DoXe8/edit?usp=sharing"",""สงขลา!J137"")"),0)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IFERROR(__xludf.DUMMYFUNCTION("IMPORTRANGE(""https://docs.google.com/spreadsheets/d/1IYY_tgx_IHuhSq3AJ5eI5OnqOPBNLWSHKh2a30DoXe8/edit?usp=sharing"",""สงขลา!I138"")"),0)</f>
        <v>0</v>
      </c>
      <c r="J213" s="210">
        <f ca="1">IFERROR(__xludf.DUMMYFUNCTION("IMPORTRANGE(""https://docs.google.com/spreadsheets/d/1IYY_tgx_IHuhSq3AJ5eI5OnqOPBNLWSHKh2a30DoXe8/edit?usp=sharing"",""สงขลา!J138"")"),0)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IFERROR(__xludf.DUMMYFUNCTION("IMPORTRANGE(""https://docs.google.com/spreadsheets/d/1IYY_tgx_IHuhSq3AJ5eI5OnqOPBNLWSHKh2a30DoXe8/edit?usp=sharing"",""สงขลา!I140"")"),0)</f>
        <v>0</v>
      </c>
      <c r="J215" s="210">
        <f ca="1">IFERROR(__xludf.DUMMYFUNCTION("IMPORTRANGE(""https://docs.google.com/spreadsheets/d/1IYY_tgx_IHuhSq3AJ5eI5OnqOPBNLWSHKh2a30DoXe8/edit?usp=sharing"",""สงขลา!J140"")"),0)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IFERROR(__xludf.DUMMYFUNCTION("IMPORTRANGE(""https://docs.google.com/spreadsheets/d/1IYY_tgx_IHuhSq3AJ5eI5OnqOPBNLWSHKh2a30DoXe8/edit?usp=sharing"",""สงขลา!I141"")"),0)</f>
        <v>0</v>
      </c>
      <c r="J216" s="210">
        <f ca="1">IFERROR(__xludf.DUMMYFUNCTION("IMPORTRANGE(""https://docs.google.com/spreadsheets/d/1IYY_tgx_IHuhSq3AJ5eI5OnqOPBNLWSHKh2a30DoXe8/edit?usp=sharing"",""สงขลา!J141"")"),0)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IFERROR(__xludf.DUMMYFUNCTION("IMPORTRANGE(""https://docs.google.com/spreadsheets/d/1IYY_tgx_IHuhSq3AJ5eI5OnqOPBNLWSHKh2a30DoXe8/edit?usp=sharing"",""สงขลา!J142"")"),0)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IFERROR(__xludf.DUMMYFUNCTION("IMPORTRANGE(""https://docs.google.com/spreadsheets/d/1IYY_tgx_IHuhSq3AJ5eI5OnqOPBNLWSHKh2a30DoXe8/edit?usp=sharing"",""สงขลา!J143"")"),0)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IFERROR(__xludf.DUMMYFUNCTION("IMPORTRANGE(""https://docs.google.com/spreadsheets/d/1IYY_tgx_IHuhSq3AJ5eI5OnqOPBNLWSHKh2a30DoXe8/edit?usp=sharing"",""สงขลา!I144"")"),15)</f>
        <v>15</v>
      </c>
      <c r="J219" s="273">
        <f ca="1">IFERROR(__xludf.DUMMYFUNCTION("IMPORTRANGE(""https://docs.google.com/spreadsheets/d/1IYY_tgx_IHuhSq3AJ5eI5OnqOPBNLWSHKh2a30DoXe8/edit?usp=sharing"",""สงขลา!J144"")"),15)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IFERROR(__xludf.DUMMYFUNCTION("IMPORTRANGE(""https://docs.google.com/spreadsheets/d/1Yj_ptqi66GCucihVvJfMjLAmec39IyEx_6qawtMGysU/edit?usp=sharing"",""สบก!BS92"")"),21125)</f>
        <v>21125</v>
      </c>
      <c r="N224" s="174">
        <f ca="1">IFERROR(__xludf.DUMMYFUNCTION("IMPORTRANGE(""https://docs.google.com/spreadsheets/d/1Yj_ptqi66GCucihVvJfMjLAmec39IyEx_6qawtMGysU/edit?usp=sharing"",""สบก!BT92"")"),21125)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IFERROR(__xludf.DUMMYFUNCTION("IMPORTRANGE(""https://docs.google.com/spreadsheets/d/1Yj_ptqi66GCucihVvJfMjLAmec39IyEx_6qawtMGysU/edit?usp=sharing"",""สบก!BO92"")"),0)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IFERROR(__xludf.DUMMYFUNCTION("IMPORTRANGE(""https://docs.google.com/spreadsheets/d/1Yj_ptqi66GCucihVvJfMjLAmec39IyEx_6qawtMGysU/edit?usp=sharing"",""สบก!BP92"")"),21125)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IFERROR(__xludf.DUMMYFUNCTION("IMPORTRANGE(""https://docs.google.com/spreadsheets/d/1Yj_ptqi66GCucihVvJfMjLAmec39IyEx_6qawtMGysU/edit?usp=sharing"",""สบก!BQ92"")"),0)</f>
        <v>0</v>
      </c>
      <c r="M228" s="101"/>
      <c r="N228" s="91">
        <f ca="1">IFERROR(__xludf.DUMMYFUNCTION("IMPORTRANGE(""https://docs.google.com/spreadsheets/d/1Yj_ptqi66GCucihVvJfMjLAmec39IyEx_6qawtMGysU/edit?usp=sharing"",""สบก!BU92"")"),0)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IFERROR(__xludf.DUMMYFUNCTION("IMPORTRANGE(""https://docs.google.com/spreadsheets/d/1IYY_tgx_IHuhSq3AJ5eI5OnqOPBNLWSHKh2a30DoXe8/edit?usp=sharing"",""สงขลา!I149"")"),15)</f>
        <v>15</v>
      </c>
      <c r="J229" s="273">
        <f ca="1">IFERROR(__xludf.DUMMYFUNCTION("IMPORTRANGE(""https://docs.google.com/spreadsheets/d/1IYY_tgx_IHuhSq3AJ5eI5OnqOPBNLWSHKh2a30DoXe8/edit?usp=sharing"",""สงขลา!J149"")"),15)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IFERROR(__xludf.DUMMYFUNCTION("IMPORTRANGE(""https://docs.google.com/spreadsheets/d/1IYY_tgx_IHuhSq3AJ5eI5OnqOPBNLWSHKh2a30DoXe8/edit?usp=sharing"",""สงขลา!J151"")"),0)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IFERROR(__xludf.DUMMYFUNCTION("IMPORTRANGE(""https://docs.google.com/spreadsheets/d/1IYY_tgx_IHuhSq3AJ5eI5OnqOPBNLWSHKh2a30DoXe8/edit?usp=sharing"",""สงขลา!J152"")"),1)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IFERROR(__xludf.DUMMYFUNCTION("IMPORTRANGE(""https://docs.google.com/spreadsheets/d/1IYY_tgx_IHuhSq3AJ5eI5OnqOPBNLWSHKh2a30DoXe8/edit?usp=sharing"",""สงขลา!J153"")"),1)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IFERROR(__xludf.DUMMYFUNCTION("IMPORTRANGE(""https://docs.google.com/spreadsheets/d/1IYY_tgx_IHuhSq3AJ5eI5OnqOPBNLWSHKh2a30DoXe8/edit?usp=sharing"",""สงขลา!J154"")"),1)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IFERROR(__xludf.DUMMYFUNCTION("IMPORTRANGE(""https://docs.google.com/spreadsheets/d/1IYY_tgx_IHuhSq3AJ5eI5OnqOPBNLWSHKh2a30DoXe8/edit?usp=sharing"",""สงขลา!I155"")"),15)</f>
        <v>15</v>
      </c>
      <c r="J235" s="195">
        <f ca="1">IFERROR(__xludf.DUMMYFUNCTION("IMPORTRANGE(""https://docs.google.com/spreadsheets/d/1IYY_tgx_IHuhSq3AJ5eI5OnqOPBNLWSHKh2a30DoXe8/edit?usp=sharing"",""สงขลา!J155"")"),15)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IFERROR(__xludf.DUMMYFUNCTION("IMPORTRANGE(""https://docs.google.com/spreadsheets/d/1IYY_tgx_IHuhSq3AJ5eI5OnqOPBNLWSHKh2a30DoXe8/edit?usp=sharing"",""สงขลา!J156"")"),0)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IFERROR(__xludf.DUMMYFUNCTION("IMPORTRANGE(""https://docs.google.com/spreadsheets/d/1IYY_tgx_IHuhSq3AJ5eI5OnqOPBNLWSHKh2a30DoXe8/edit?usp=sharing"",""สงขลา!J157"")"),0)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IFERROR(__xludf.DUMMYFUNCTION("IMPORTRANGE(""https://docs.google.com/spreadsheets/d/1IYY_tgx_IHuhSq3AJ5eI5OnqOPBNLWSHKh2a30DoXe8/edit?usp=sharing"",""สงขลา!I158"")"),0)</f>
        <v>0</v>
      </c>
      <c r="J238" s="273">
        <f ca="1">IFERROR(__xludf.DUMMYFUNCTION("IMPORTRANGE(""https://docs.google.com/spreadsheets/d/1IYY_tgx_IHuhSq3AJ5eI5OnqOPBNLWSHKh2a30DoXe8/edit?usp=sharing"",""สงขลา!J158"")"),0)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IFERROR(__xludf.DUMMYFUNCTION("IMPORTRANGE(""https://docs.google.com/spreadsheets/d/1IYY_tgx_IHuhSq3AJ5eI5OnqOPBNLWSHKh2a30DoXe8/edit?usp=sharing"",""สงขลา!J159"")"),"")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IFERROR(__xludf.DUMMYFUNCTION("IMPORTRANGE(""https://docs.google.com/spreadsheets/d/1IYY_tgx_IHuhSq3AJ5eI5OnqOPBNLWSHKh2a30DoXe8/edit?usp=sharing"",""สงขลา!J161"")"),0)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IFERROR(__xludf.DUMMYFUNCTION("IMPORTRANGE(""https://docs.google.com/spreadsheets/d/1IYY_tgx_IHuhSq3AJ5eI5OnqOPBNLWSHKh2a30DoXe8/edit?usp=sharing"",""สงขลา!J162"")"),0)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IFERROR(__xludf.DUMMYFUNCTION("IMPORTRANGE(""https://docs.google.com/spreadsheets/d/1IYY_tgx_IHuhSq3AJ5eI5OnqOPBNLWSHKh2a30DoXe8/edit?usp=sharing"",""สงขลา!J163"")"),0)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IFERROR(__xludf.DUMMYFUNCTION("IMPORTRANGE(""https://docs.google.com/spreadsheets/d/1IYY_tgx_IHuhSq3AJ5eI5OnqOPBNLWSHKh2a30DoXe8/edit?usp=sharing"",""สงขลา!I164"")"),0)</f>
        <v>0</v>
      </c>
      <c r="J244" s="194">
        <f ca="1">IFERROR(__xludf.DUMMYFUNCTION("IMPORTRANGE(""https://docs.google.com/spreadsheets/d/1IYY_tgx_IHuhSq3AJ5eI5OnqOPBNLWSHKh2a30DoXe8/edit?usp=sharing"",""สงขลา!J164"")"),0)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IFERROR(__xludf.DUMMYFUNCTION("IMPORTRANGE(""https://docs.google.com/spreadsheets/d/1IYY_tgx_IHuhSq3AJ5eI5OnqOPBNLWSHKh2a30DoXe8/edit?usp=sharing"",""สงขลา!J165"")"),0)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IFERROR(__xludf.DUMMYFUNCTION("IMPORTRANGE(""https://docs.google.com/spreadsheets/d/1IYY_tgx_IHuhSq3AJ5eI5OnqOPBNLWSHKh2a30DoXe8/edit?usp=sharing"",""สงขลา!J166"")"),0)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IFERROR(__xludf.DUMMYFUNCTION("IMPORTRANGE(""https://docs.google.com/spreadsheets/d/1IYY_tgx_IHuhSq3AJ5eI5OnqOPBNLWSHKh2a30DoXe8/edit?usp=sharing"",""สงขลา!I169"")"),0)</f>
        <v>0</v>
      </c>
      <c r="J249" s="322">
        <f ca="1">IFERROR(__xludf.DUMMYFUNCTION("IMPORTRANGE(""https://docs.google.com/spreadsheets/d/1IYY_tgx_IHuhSq3AJ5eI5OnqOPBNLWSHKh2a30DoXe8/edit?usp=sharing"",""สงขลา!J169"")"),0)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IFERROR(__xludf.DUMMYFUNCTION("IMPORTRANGE(""https://docs.google.com/spreadsheets/d/1Yj_ptqi66GCucihVvJfMjLAmec39IyEx_6qawtMGysU/edit?usp=sharing"",""สบก!CB92"")"),0)</f>
        <v>0</v>
      </c>
      <c r="N254" s="174">
        <f ca="1">IFERROR(__xludf.DUMMYFUNCTION("IMPORTRANGE(""https://docs.google.com/spreadsheets/d/1Yj_ptqi66GCucihVvJfMjLAmec39IyEx_6qawtMGysU/edit?usp=sharing"",""สบก!CC92"")"),0)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IFERROR(__xludf.DUMMYFUNCTION("IMPORTRANGE(""https://docs.google.com/spreadsheets/d/1Yj_ptqi66GCucihVvJfMjLAmec39IyEx_6qawtMGysU/edit?usp=sharing"",""สบก!BX92"")"),0)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IFERROR(__xludf.DUMMYFUNCTION("IMPORTRANGE(""https://docs.google.com/spreadsheets/d/1Yj_ptqi66GCucihVvJfMjLAmec39IyEx_6qawtMGysU/edit?usp=sharing"",""สบก!BY92"")"),0)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IFERROR(__xludf.DUMMYFUNCTION("IMPORTRANGE(""https://docs.google.com/spreadsheets/d/1Yj_ptqi66GCucihVvJfMjLAmec39IyEx_6qawtMGysU/edit?usp=sharing"",""สบก!BZ92"")"),0)</f>
        <v>0</v>
      </c>
      <c r="M258" s="101"/>
      <c r="N258" s="91">
        <f ca="1">IFERROR(__xludf.DUMMYFUNCTION("IMPORTRANGE(""https://docs.google.com/spreadsheets/d/1Yj_ptqi66GCucihVvJfMjLAmec39IyEx_6qawtMGysU/edit?usp=sharing"",""สบก!CD92"")"),0)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IFERROR(__xludf.DUMMYFUNCTION("IMPORTRANGE(""https://docs.google.com/spreadsheets/d/1IYY_tgx_IHuhSq3AJ5eI5OnqOPBNLWSHKh2a30DoXe8/edit?usp=sharing"",""สงขลา!J175"")"),0)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IFERROR(__xludf.DUMMYFUNCTION("IMPORTRANGE(""https://docs.google.com/spreadsheets/d/1IYY_tgx_IHuhSq3AJ5eI5OnqOPBNLWSHKh2a30DoXe8/edit?usp=sharing"",""สงขลา!J176"")"),0)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IFERROR(__xludf.DUMMYFUNCTION("IMPORTRANGE(""https://docs.google.com/spreadsheets/d/1IYY_tgx_IHuhSq3AJ5eI5OnqOPBNLWSHKh2a30DoXe8/edit?usp=sharing"",""สงขลา!J177"")"),0)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IFERROR(__xludf.DUMMYFUNCTION("IMPORTRANGE(""https://docs.google.com/spreadsheets/d/1IYY_tgx_IHuhSq3AJ5eI5OnqOPBNLWSHKh2a30DoXe8/edit?usp=sharing"",""สงขลา!J178"")"),0)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IFERROR(__xludf.DUMMYFUNCTION("IMPORTRANGE(""https://docs.google.com/spreadsheets/d/1IYY_tgx_IHuhSq3AJ5eI5OnqOPBNLWSHKh2a30DoXe8/edit?usp=sharing"",""สงขลา!I179"")"),0)</f>
        <v>0</v>
      </c>
      <c r="J264" s="195">
        <f ca="1">IFERROR(__xludf.DUMMYFUNCTION("IMPORTRANGE(""https://docs.google.com/spreadsheets/d/1IYY_tgx_IHuhSq3AJ5eI5OnqOPBNLWSHKh2a30DoXe8/edit?usp=sharing"",""สงขลา!J179"")"),0)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IFERROR(__xludf.DUMMYFUNCTION("IMPORTRANGE(""https://docs.google.com/spreadsheets/d/1IYY_tgx_IHuhSq3AJ5eI5OnqOPBNLWSHKh2a30DoXe8/edit?usp=sharing"",""สงขลา!I180"")"),0)</f>
        <v>0</v>
      </c>
      <c r="J265" s="195">
        <f ca="1">IFERROR(__xludf.DUMMYFUNCTION("IMPORTRANGE(""https://docs.google.com/spreadsheets/d/1IYY_tgx_IHuhSq3AJ5eI5OnqOPBNLWSHKh2a30DoXe8/edit?usp=sharing"",""สงขลา!J180"")"),0)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IFERROR(__xludf.DUMMYFUNCTION("IMPORTRANGE(""https://docs.google.com/spreadsheets/d/1IYY_tgx_IHuhSq3AJ5eI5OnqOPBNLWSHKh2a30DoXe8/edit?usp=sharing"",""สงขลา!I181"")"),0)</f>
        <v>0</v>
      </c>
      <c r="J266" s="195">
        <f ca="1">IFERROR(__xludf.DUMMYFUNCTION("IMPORTRANGE(""https://docs.google.com/spreadsheets/d/1IYY_tgx_IHuhSq3AJ5eI5OnqOPBNLWSHKh2a30DoXe8/edit?usp=sharing"",""สงขลา!J181"")"),0)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IFERROR(__xludf.DUMMYFUNCTION("IMPORTRANGE(""https://docs.google.com/spreadsheets/d/1IYY_tgx_IHuhSq3AJ5eI5OnqOPBNLWSHKh2a30DoXe8/edit?usp=sharing"",""สงขลา!I182"")"),0)</f>
        <v>0</v>
      </c>
      <c r="J267" s="195">
        <f ca="1">IFERROR(__xludf.DUMMYFUNCTION("IMPORTRANGE(""https://docs.google.com/spreadsheets/d/1IYY_tgx_IHuhSq3AJ5eI5OnqOPBNLWSHKh2a30DoXe8/edit?usp=sharing"",""สงขลา!J182"")"),0)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IFERROR(__xludf.DUMMYFUNCTION("IMPORTRANGE(""https://docs.google.com/spreadsheets/d/1IYY_tgx_IHuhSq3AJ5eI5OnqOPBNLWSHKh2a30DoXe8/edit?usp=sharing"",""สงขลา!J183"")"),0)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IFERROR(__xludf.DUMMYFUNCTION("IMPORTRANGE(""https://docs.google.com/spreadsheets/d/1IYY_tgx_IHuhSq3AJ5eI5OnqOPBNLWSHKh2a30DoXe8/edit?usp=sharing"",""สงขลา!J184"")"),0)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IFERROR(__xludf.DUMMYFUNCTION("IMPORTRANGE(""https://docs.google.com/spreadsheets/d/1IYY_tgx_IHuhSq3AJ5eI5OnqOPBNLWSHKh2a30DoXe8/edit?usp=sharing"",""สงขลา!I185"")"),15)</f>
        <v>15</v>
      </c>
      <c r="J270" s="322">
        <f ca="1">IFERROR(__xludf.DUMMYFUNCTION("IMPORTRANGE(""https://docs.google.com/spreadsheets/d/1IYY_tgx_IHuhSq3AJ5eI5OnqOPBNLWSHKh2a30DoXe8/edit?usp=sharing"",""สงขลา!J185"")"),15)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99530</v>
      </c>
      <c r="O271" s="155">
        <f t="shared" ref="O271:O273" ca="1" si="84">IF(L271&gt;0,N271*100/L271,0)</f>
        <v>53.167735042735046</v>
      </c>
      <c r="P271" s="155">
        <f t="shared" ref="P271:P273" ca="1" si="85">IF(M271&gt;0,N271*100/M271,0)</f>
        <v>75.832380952380959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99530</v>
      </c>
      <c r="O273" s="160">
        <f t="shared" ca="1" si="84"/>
        <v>53.167735042735046</v>
      </c>
      <c r="P273" s="160">
        <f t="shared" ca="1" si="85"/>
        <v>75.832380952380959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IFERROR(__xludf.DUMMYFUNCTION("IMPORTRANGE(""https://docs.google.com/spreadsheets/d/1Yj_ptqi66GCucihVvJfMjLAmec39IyEx_6qawtMGysU/edit?usp=sharing"",""สบก!CK92"")"),131250)</f>
        <v>131250</v>
      </c>
      <c r="N275" s="174">
        <f ca="1">IFERROR(__xludf.DUMMYFUNCTION("IMPORTRANGE(""https://docs.google.com/spreadsheets/d/1Yj_ptqi66GCucihVvJfMjLAmec39IyEx_6qawtMGysU/edit?usp=sharing"",""สบก!CL92"")"),99530)</f>
        <v>99530</v>
      </c>
      <c r="O275" s="175">
        <f ca="1">IF(L275&gt;0,N275*100/L275,0)</f>
        <v>53.167735042735046</v>
      </c>
      <c r="P275" s="175">
        <f ca="1">IF(M275&gt;0,N275*100/M275,0)</f>
        <v>75.832380952380959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IFERROR(__xludf.DUMMYFUNCTION("IMPORTRANGE(""https://docs.google.com/spreadsheets/d/1Yj_ptqi66GCucihVvJfMjLAmec39IyEx_6qawtMGysU/edit?usp=sharing"",""สบก!CG92"")"),132000)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IFERROR(__xludf.DUMMYFUNCTION("IMPORTRANGE(""https://docs.google.com/spreadsheets/d/1Yj_ptqi66GCucihVvJfMjLAmec39IyEx_6qawtMGysU/edit?usp=sharing"",""สบก!CH92"")"),55200)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IFERROR(__xludf.DUMMYFUNCTION("IMPORTRANGE(""https://docs.google.com/spreadsheets/d/1Yj_ptqi66GCucihVvJfMjLAmec39IyEx_6qawtMGysU/edit?usp=sharing"",""สบก!CI92"")"),0)</f>
        <v>0</v>
      </c>
      <c r="M279" s="101"/>
      <c r="N279" s="91">
        <f ca="1">IFERROR(__xludf.DUMMYFUNCTION("IMPORTRANGE(""https://docs.google.com/spreadsheets/d/1Yj_ptqi66GCucihVvJfMjLAmec39IyEx_6qawtMGysU/edit?usp=sharing"",""สบก!CM92"")"),0)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IFERROR(__xludf.DUMMYFUNCTION("IMPORTRANGE(""https://docs.google.com/spreadsheets/d/1IYY_tgx_IHuhSq3AJ5eI5OnqOPBNLWSHKh2a30DoXe8/edit?usp=sharing"",""สงขลา!J191"")"),0)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IFERROR(__xludf.DUMMYFUNCTION("IMPORTRANGE(""https://docs.google.com/spreadsheets/d/1IYY_tgx_IHuhSq3AJ5eI5OnqOPBNLWSHKh2a30DoXe8/edit?usp=sharing"",""สงขลา!J192"")"),1)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IFERROR(__xludf.DUMMYFUNCTION("IMPORTRANGE(""https://docs.google.com/spreadsheets/d/1IYY_tgx_IHuhSq3AJ5eI5OnqOPBNLWSHKh2a30DoXe8/edit?usp=sharing"",""สงขลา!J193"")"),1)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IFERROR(__xludf.DUMMYFUNCTION("IMPORTRANGE(""https://docs.google.com/spreadsheets/d/1IYY_tgx_IHuhSq3AJ5eI5OnqOPBNLWSHKh2a30DoXe8/edit?usp=sharing"",""สงขลา!J194"")"),1)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IFERROR(__xludf.DUMMYFUNCTION("IMPORTRANGE(""https://docs.google.com/spreadsheets/d/1IYY_tgx_IHuhSq3AJ5eI5OnqOPBNLWSHKh2a30DoXe8/edit?usp=sharing"",""สงขลา!I195"")"),15)</f>
        <v>15</v>
      </c>
      <c r="J285" s="195">
        <f ca="1">IFERROR(__xludf.DUMMYFUNCTION("IMPORTRANGE(""https://docs.google.com/spreadsheets/d/1IYY_tgx_IHuhSq3AJ5eI5OnqOPBNLWSHKh2a30DoXe8/edit?usp=sharing"",""สงขลา!J195"")"),15)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IFERROR(__xludf.DUMMYFUNCTION("IMPORTRANGE(""https://docs.google.com/spreadsheets/d/1IYY_tgx_IHuhSq3AJ5eI5OnqOPBNLWSHKh2a30DoXe8/edit?usp=sharing"",""สงขลา!J196"")"),0)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IFERROR(__xludf.DUMMYFUNCTION("IMPORTRANGE(""https://docs.google.com/spreadsheets/d/1IYY_tgx_IHuhSq3AJ5eI5OnqOPBNLWSHKh2a30DoXe8/edit?usp=sharing"",""สงขลา!J197"")"),0)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IFERROR(__xludf.DUMMYFUNCTION("IMPORTRANGE(""https://docs.google.com/spreadsheets/d/1IYY_tgx_IHuhSq3AJ5eI5OnqOPBNLWSHKh2a30DoXe8/edit?usp=sharing"",""สงขลา!I199"")"),15)</f>
        <v>15</v>
      </c>
      <c r="J289" s="322">
        <f ca="1">IFERROR(__xludf.DUMMYFUNCTION("IMPORTRANGE(""https://docs.google.com/spreadsheets/d/1IYY_tgx_IHuhSq3AJ5eI5OnqOPBNLWSHKh2a30DoXe8/edit?usp=sharing"",""สงขลา!J199"")"),15)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81820</v>
      </c>
      <c r="M290" s="156">
        <f t="shared" ca="1" si="88"/>
        <v>81820</v>
      </c>
      <c r="N290" s="156">
        <f t="shared" ca="1" si="88"/>
        <v>34760</v>
      </c>
      <c r="O290" s="155">
        <f t="shared" ref="O290:O292" ca="1" si="89">IF(L290&gt;0,N290*100/L290,0)</f>
        <v>42.483500366658518</v>
      </c>
      <c r="P290" s="155">
        <f t="shared" ref="P290:P292" ca="1" si="90">IF(M290&gt;0,N290*100/M290,0)</f>
        <v>42.483500366658518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81820</v>
      </c>
      <c r="M292" s="161">
        <f t="shared" ca="1" si="92"/>
        <v>81820</v>
      </c>
      <c r="N292" s="161">
        <f t="shared" ca="1" si="92"/>
        <v>34760</v>
      </c>
      <c r="O292" s="160">
        <f t="shared" ca="1" si="89"/>
        <v>42.483500366658518</v>
      </c>
      <c r="P292" s="160">
        <f t="shared" ca="1" si="90"/>
        <v>42.483500366658518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81820</v>
      </c>
      <c r="M294" s="173">
        <f ca="1">IFERROR(__xludf.DUMMYFUNCTION("IMPORTRANGE(""https://docs.google.com/spreadsheets/d/1Yj_ptqi66GCucihVvJfMjLAmec39IyEx_6qawtMGysU/edit?usp=sharing"",""สบก!CT92"")"),81820)</f>
        <v>81820</v>
      </c>
      <c r="N294" s="174">
        <f ca="1">IFERROR(__xludf.DUMMYFUNCTION("IMPORTRANGE(""https://docs.google.com/spreadsheets/d/1Yj_ptqi66GCucihVvJfMjLAmec39IyEx_6qawtMGysU/edit?usp=sharing"",""สบก!CU92"")"),34760)</f>
        <v>34760</v>
      </c>
      <c r="O294" s="175">
        <f ca="1">IF(L294&gt;0,N294*100/L294,0)</f>
        <v>42.483500366658518</v>
      </c>
      <c r="P294" s="175">
        <f ca="1">IF(M294&gt;0,N294*100/M294,0)</f>
        <v>42.483500366658518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IFERROR(__xludf.DUMMYFUNCTION("IMPORTRANGE(""https://docs.google.com/spreadsheets/d/1Yj_ptqi66GCucihVvJfMjLAmec39IyEx_6qawtMGysU/edit?usp=sharing"",""สบก!CP92"")"),0)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IFERROR(__xludf.DUMMYFUNCTION("IMPORTRANGE(""https://docs.google.com/spreadsheets/d/1Yj_ptqi66GCucihVvJfMjLAmec39IyEx_6qawtMGysU/edit?usp=sharing"",""สบก!CQ92"")"),81820)</f>
        <v>81820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IFERROR(__xludf.DUMMYFUNCTION("IMPORTRANGE(""https://docs.google.com/spreadsheets/d/1Yj_ptqi66GCucihVvJfMjLAmec39IyEx_6qawtMGysU/edit?usp=sharing"",""สบก!CR92"")"),0)</f>
        <v>0</v>
      </c>
      <c r="M298" s="101"/>
      <c r="N298" s="91">
        <f ca="1">IFERROR(__xludf.DUMMYFUNCTION("IMPORTRANGE(""https://docs.google.com/spreadsheets/d/1Yj_ptqi66GCucihVvJfMjLAmec39IyEx_6qawtMGysU/edit?usp=sharing"",""สบก!CV92"")"),0)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IFERROR(__xludf.DUMMYFUNCTION("IMPORTRANGE(""https://docs.google.com/spreadsheets/d/1IYY_tgx_IHuhSq3AJ5eI5OnqOPBNLWSHKh2a30DoXe8/edit?usp=sharing"",""สงขลา!J205"")"),0)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IFERROR(__xludf.DUMMYFUNCTION("IMPORTRANGE(""https://docs.google.com/spreadsheets/d/1IYY_tgx_IHuhSq3AJ5eI5OnqOPBNLWSHKh2a30DoXe8/edit?usp=sharing"",""สงขลา!J206"")"),1)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IFERROR(__xludf.DUMMYFUNCTION("IMPORTRANGE(""https://docs.google.com/spreadsheets/d/1IYY_tgx_IHuhSq3AJ5eI5OnqOPBNLWSHKh2a30DoXe8/edit?usp=sharing"",""สงขลา!J207"")"),1)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IFERROR(__xludf.DUMMYFUNCTION("IMPORTRANGE(""https://docs.google.com/spreadsheets/d/1IYY_tgx_IHuhSq3AJ5eI5OnqOPBNLWSHKh2a30DoXe8/edit?usp=sharing"",""สงขลา!J208"")"),1)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IFERROR(__xludf.DUMMYFUNCTION("IMPORTRANGE(""https://docs.google.com/spreadsheets/d/1IYY_tgx_IHuhSq3AJ5eI5OnqOPBNLWSHKh2a30DoXe8/edit?usp=sharing"",""สงขลา!I209"")"),15)</f>
        <v>15</v>
      </c>
      <c r="J304" s="210">
        <f ca="1">IFERROR(__xludf.DUMMYFUNCTION("IMPORTRANGE(""https://docs.google.com/spreadsheets/d/1IYY_tgx_IHuhSq3AJ5eI5OnqOPBNLWSHKh2a30DoXe8/edit?usp=sharing"",""สงขลา!J209"")"),15)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IFERROR(__xludf.DUMMYFUNCTION("IMPORTRANGE(""https://docs.google.com/spreadsheets/d/1IYY_tgx_IHuhSq3AJ5eI5OnqOPBNLWSHKh2a30DoXe8/edit?usp=sharing"",""สงขลา!I211"")"),15)</f>
        <v>15</v>
      </c>
      <c r="J306" s="210">
        <f ca="1">IFERROR(__xludf.DUMMYFUNCTION("IMPORTRANGE(""https://docs.google.com/spreadsheets/d/1IYY_tgx_IHuhSq3AJ5eI5OnqOPBNLWSHKh2a30DoXe8/edit?usp=sharing"",""สงขลา!J211"")"),0)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IFERROR(__xludf.DUMMYFUNCTION("IMPORTRANGE(""https://docs.google.com/spreadsheets/d/1IYY_tgx_IHuhSq3AJ5eI5OnqOPBNLWSHKh2a30DoXe8/edit?usp=sharing"",""สงขลา!J212"")"),0)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IFERROR(__xludf.DUMMYFUNCTION("IMPORTRANGE(""https://docs.google.com/spreadsheets/d/1IYY_tgx_IHuhSq3AJ5eI5OnqOPBNLWSHKh2a30DoXe8/edit?usp=sharing"",""สงขลา!J213"")"),0)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IFERROR(__xludf.DUMMYFUNCTION("IMPORTRANGE(""https://docs.google.com/spreadsheets/d/1IYY_tgx_IHuhSq3AJ5eI5OnqOPBNLWSHKh2a30DoXe8/edit?usp=sharing"",""สงขลา!I214"")"),1)</f>
        <v>1</v>
      </c>
      <c r="J309" s="339">
        <f ca="1">IFERROR(__xludf.DUMMYFUNCTION("IMPORTRANGE(""https://docs.google.com/spreadsheets/d/1IYY_tgx_IHuhSq3AJ5eI5OnqOPBNLWSHKh2a30DoXe8/edit?usp=sharing"",""สงขลา!J214"")"),1)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1267600</v>
      </c>
      <c r="M310" s="156">
        <f t="shared" ca="1" si="93"/>
        <v>1213200</v>
      </c>
      <c r="N310" s="156">
        <f t="shared" ca="1" si="93"/>
        <v>93970</v>
      </c>
      <c r="O310" s="155">
        <f t="shared" ref="O310:O312" ca="1" si="94">IF(L310&gt;0,N310*100/L310,0)</f>
        <v>7.4132218365414957</v>
      </c>
      <c r="P310" s="155">
        <f t="shared" ref="P310:P312" ca="1" si="95">IF(M310&gt;0,N310*100/M310,0)</f>
        <v>7.7456313880646226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1267600</v>
      </c>
      <c r="M312" s="161">
        <f t="shared" ca="1" si="97"/>
        <v>1213200</v>
      </c>
      <c r="N312" s="161">
        <f t="shared" ca="1" si="97"/>
        <v>93970</v>
      </c>
      <c r="O312" s="160">
        <f t="shared" ca="1" si="94"/>
        <v>7.4132218365414957</v>
      </c>
      <c r="P312" s="160">
        <f t="shared" ca="1" si="95"/>
        <v>7.7456313880646226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217600</v>
      </c>
      <c r="M314" s="173">
        <f ca="1">IFERROR(__xludf.DUMMYFUNCTION("IMPORTRANGE(""https://docs.google.com/spreadsheets/d/1Yj_ptqi66GCucihVvJfMjLAmec39IyEx_6qawtMGysU/edit?usp=sharing"",""สบก!DC92"")"),163200)</f>
        <v>163200</v>
      </c>
      <c r="N314" s="174">
        <f ca="1">IFERROR(__xludf.DUMMYFUNCTION("IMPORTRANGE(""https://docs.google.com/spreadsheets/d/1Yj_ptqi66GCucihVvJfMjLAmec39IyEx_6qawtMGysU/edit?usp=sharing"",""สบก!DD92"")"),93970)</f>
        <v>93970</v>
      </c>
      <c r="O314" s="175">
        <f ca="1">IF(L314&gt;0,N314*100/L314,0)</f>
        <v>43.184742647058826</v>
      </c>
      <c r="P314" s="175">
        <f ca="1">IF(M314&gt;0,N314*100/M314,0)</f>
        <v>57.579656862745097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IFERROR(__xludf.DUMMYFUNCTION("IMPORTRANGE(""https://docs.google.com/spreadsheets/d/1Yj_ptqi66GCucihVvJfMjLAmec39IyEx_6qawtMGysU/edit?usp=sharing"",""สบก!CY92"")"),0)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IFERROR(__xludf.DUMMYFUNCTION("IMPORTRANGE(""https://docs.google.com/spreadsheets/d/1Yj_ptqi66GCucihVvJfMjLAmec39IyEx_6qawtMGysU/edit?usp=sharing"",""สบก!CZ92"")"),217600)</f>
        <v>217600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IFERROR(__xludf.DUMMYFUNCTION("IMPORTRANGE(""https://docs.google.com/spreadsheets/d/1Yj_ptqi66GCucihVvJfMjLAmec39IyEx_6qawtMGysU/edit?usp=sharing"",""สบก!DA92"")"),1050000)</f>
        <v>1050000</v>
      </c>
      <c r="M318" s="101">
        <f ca="1">L318</f>
        <v>1050000</v>
      </c>
      <c r="N318" s="91">
        <f ca="1">IFERROR(__xludf.DUMMYFUNCTION("IMPORTRANGE(""https://docs.google.com/spreadsheets/d/1Yj_ptqi66GCucihVvJfMjLAmec39IyEx_6qawtMGysU/edit?usp=sharing"",""สบก!DE92"")"),0)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IFERROR(__xludf.DUMMYFUNCTION("IMPORTRANGE(""https://docs.google.com/spreadsheets/d/1IYY_tgx_IHuhSq3AJ5eI5OnqOPBNLWSHKh2a30DoXe8/edit?usp=sharing"",""สงขลา!J220"")"),0)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IFERROR(__xludf.DUMMYFUNCTION("IMPORTRANGE(""https://docs.google.com/spreadsheets/d/1IYY_tgx_IHuhSq3AJ5eI5OnqOPBNLWSHKh2a30DoXe8/edit?usp=sharing"",""สงขลา!J221"")"),1)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IFERROR(__xludf.DUMMYFUNCTION("IMPORTRANGE(""https://docs.google.com/spreadsheets/d/1IYY_tgx_IHuhSq3AJ5eI5OnqOPBNLWSHKh2a30DoXe8/edit?usp=sharing"",""สงขลา!J222"")"),1)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IFERROR(__xludf.DUMMYFUNCTION("IMPORTRANGE(""https://docs.google.com/spreadsheets/d/1IYY_tgx_IHuhSq3AJ5eI5OnqOPBNLWSHKh2a30DoXe8/edit?usp=sharing"",""สงขลา!J223"")"),1)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IFERROR(__xludf.DUMMYFUNCTION("IMPORTRANGE(""https://docs.google.com/spreadsheets/d/1IYY_tgx_IHuhSq3AJ5eI5OnqOPBNLWSHKh2a30DoXe8/edit?usp=sharing"",""สงขลา!I224"")"),1)</f>
        <v>1</v>
      </c>
      <c r="J324" s="210">
        <f ca="1">IFERROR(__xludf.DUMMYFUNCTION("IMPORTRANGE(""https://docs.google.com/spreadsheets/d/1IYY_tgx_IHuhSq3AJ5eI5OnqOPBNLWSHKh2a30DoXe8/edit?usp=sharing"",""สงขลา!J224"")"),1)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IFERROR(__xludf.DUMMYFUNCTION("IMPORTRANGE(""https://docs.google.com/spreadsheets/d/1IYY_tgx_IHuhSq3AJ5eI5OnqOPBNLWSHKh2a30DoXe8/edit?usp=sharing"",""สงขลา!J225"")"),0)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IFERROR(__xludf.DUMMYFUNCTION("IMPORTRANGE(""https://docs.google.com/spreadsheets/d/1IYY_tgx_IHuhSq3AJ5eI5OnqOPBNLWSHKh2a30DoXe8/edit?usp=sharing"",""สงขลา!J226"")"),0)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IFERROR(__xludf.DUMMYFUNCTION("IMPORTRANGE(""https://docs.google.com/spreadsheets/d/1IYY_tgx_IHuhSq3AJ5eI5OnqOPBNLWSHKh2a30DoXe8/edit?usp=sharing"",""สงขลา!I228"")"),210)</f>
        <v>210</v>
      </c>
      <c r="J328" s="345">
        <f ca="1">IFERROR(__xludf.DUMMYFUNCTION("IMPORTRANGE(""https://docs.google.com/spreadsheets/d/1IYY_tgx_IHuhSq3AJ5eI5OnqOPBNLWSHKh2a30DoXe8/edit?usp=sharing"",""สงขลา!J228"")"),229)</f>
        <v>229</v>
      </c>
      <c r="K328" s="323">
        <f ca="1">IF(I328&gt;0,J328*100/I328,0)</f>
        <v>109.04761904761905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1143610</v>
      </c>
      <c r="M329" s="156">
        <f t="shared" ca="1" si="98"/>
        <v>849290</v>
      </c>
      <c r="N329" s="156">
        <f t="shared" ca="1" si="98"/>
        <v>637080.52</v>
      </c>
      <c r="O329" s="155">
        <f t="shared" ref="O329:O331" ca="1" si="99">IF(L329&gt;0,N329*100/L329,0)</f>
        <v>55.707847955159536</v>
      </c>
      <c r="P329" s="155">
        <f t="shared" ref="P329:P331" ca="1" si="100">IF(M329&gt;0,N329*100/M329,0)</f>
        <v>75.013307586336822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1143610</v>
      </c>
      <c r="M331" s="161">
        <f t="shared" ca="1" si="102"/>
        <v>849290</v>
      </c>
      <c r="N331" s="161">
        <f t="shared" ca="1" si="102"/>
        <v>637080.52</v>
      </c>
      <c r="O331" s="160">
        <f t="shared" ca="1" si="99"/>
        <v>55.707847955159536</v>
      </c>
      <c r="P331" s="160">
        <f t="shared" ca="1" si="100"/>
        <v>75.013307586336822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1126610</v>
      </c>
      <c r="M333" s="173">
        <f ca="1">IFERROR(__xludf.DUMMYFUNCTION("IMPORTRANGE(""https://docs.google.com/spreadsheets/d/1Yj_ptqi66GCucihVvJfMjLAmec39IyEx_6qawtMGysU/edit?usp=sharing"",""สบก!DL92"")"),832290)</f>
        <v>832290</v>
      </c>
      <c r="N333" s="174">
        <f ca="1">IFERROR(__xludf.DUMMYFUNCTION("IMPORTRANGE(""https://docs.google.com/spreadsheets/d/1Yj_ptqi66GCucihVvJfMjLAmec39IyEx_6qawtMGysU/edit?usp=sharing"",""สบก!DM92"")"),620080.52)</f>
        <v>620080.52</v>
      </c>
      <c r="O333" s="175">
        <f ca="1">IF(L333&gt;0,N333*100/L333,0)</f>
        <v>55.039500803294843</v>
      </c>
      <c r="P333" s="175">
        <f ca="1">IF(M333&gt;0,N333*100/M333,0)</f>
        <v>74.502940080981389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IFERROR(__xludf.DUMMYFUNCTION("IMPORTRANGE(""https://docs.google.com/spreadsheets/d/1Yj_ptqi66GCucihVvJfMjLAmec39IyEx_6qawtMGysU/edit?usp=sharing"",""สบก!DH92"")"),773000)</f>
        <v>773000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IFERROR(__xludf.DUMMYFUNCTION("IMPORTRANGE(""https://docs.google.com/spreadsheets/d/1Yj_ptqi66GCucihVvJfMjLAmec39IyEx_6qawtMGysU/edit?usp=sharing"",""สบก!DI92"")"),353610)</f>
        <v>353610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IFERROR(__xludf.DUMMYFUNCTION("IMPORTRANGE(""https://docs.google.com/spreadsheets/d/1Yj_ptqi66GCucihVvJfMjLAmec39IyEx_6qawtMGysU/edit?usp=sharing"",""สบก!DJ92"")"),17000)</f>
        <v>17000</v>
      </c>
      <c r="M337" s="101">
        <f ca="1">L337</f>
        <v>17000</v>
      </c>
      <c r="N337" s="91">
        <f ca="1">IFERROR(__xludf.DUMMYFUNCTION("IMPORTRANGE(""https://docs.google.com/spreadsheets/d/1Yj_ptqi66GCucihVvJfMjLAmec39IyEx_6qawtMGysU/edit?usp=sharing"",""สบก!DN92"")"),17000)</f>
        <v>17000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IFERROR(__xludf.DUMMYFUNCTION("IMPORTRANGE(""https://docs.google.com/spreadsheets/d/1IYY_tgx_IHuhSq3AJ5eI5OnqOPBNLWSHKh2a30DoXe8/edit?usp=sharing"",""สงขลา!I234"")"),0)</f>
        <v>0</v>
      </c>
      <c r="J339" s="194">
        <f ca="1">IFERROR(__xludf.DUMMYFUNCTION("IMPORTRANGE(""https://docs.google.com/spreadsheets/d/1IYY_tgx_IHuhSq3AJ5eI5OnqOPBNLWSHKh2a30DoXe8/edit?usp=sharing"",""สงขลา!J234"")"),150)</f>
        <v>150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IFERROR(__xludf.DUMMYFUNCTION("IMPORTRANGE(""https://docs.google.com/spreadsheets/d/1IYY_tgx_IHuhSq3AJ5eI5OnqOPBNLWSHKh2a30DoXe8/edit?usp=sharing"",""สงขลา!I235"")"),1720)</f>
        <v>1720</v>
      </c>
      <c r="J340" s="194">
        <f ca="1">IFERROR(__xludf.DUMMYFUNCTION("IMPORTRANGE(""https://docs.google.com/spreadsheets/d/1IYY_tgx_IHuhSq3AJ5eI5OnqOPBNLWSHKh2a30DoXe8/edit?usp=sharing"",""สงขลา!J235"")"),1326.87)</f>
        <v>1326.87</v>
      </c>
      <c r="K340" s="348">
        <f t="shared" ca="1" si="103"/>
        <v>77.143604651162789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IFERROR(__xludf.DUMMYFUNCTION("IMPORTRANGE(""https://docs.google.com/spreadsheets/d/1IYY_tgx_IHuhSq3AJ5eI5OnqOPBNLWSHKh2a30DoXe8/edit?usp=sharing"",""สงขลา!I236"")"),210)</f>
        <v>210</v>
      </c>
      <c r="J341" s="194">
        <f ca="1">IFERROR(__xludf.DUMMYFUNCTION("IMPORTRANGE(""https://docs.google.com/spreadsheets/d/1IYY_tgx_IHuhSq3AJ5eI5OnqOPBNLWSHKh2a30DoXe8/edit?usp=sharing"",""สงขลา!J236"")"),261)</f>
        <v>261</v>
      </c>
      <c r="K341" s="348">
        <f t="shared" ca="1" si="103"/>
        <v>124.28571428571429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IFERROR(__xludf.DUMMYFUNCTION("IMPORTRANGE(""https://docs.google.com/spreadsheets/d/1IYY_tgx_IHuhSq3AJ5eI5OnqOPBNLWSHKh2a30DoXe8/edit?usp=sharing"",""สงขลา!I237"")"),0)</f>
        <v>0</v>
      </c>
      <c r="J342" s="194">
        <f ca="1">IFERROR(__xludf.DUMMYFUNCTION("IMPORTRANGE(""https://docs.google.com/spreadsheets/d/1IYY_tgx_IHuhSq3AJ5eI5OnqOPBNLWSHKh2a30DoXe8/edit?usp=sharing"",""สงขลา!J237"")"),2795.46)</f>
        <v>2795.46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IFERROR(__xludf.DUMMYFUNCTION("IMPORTRANGE(""https://docs.google.com/spreadsheets/d/1IYY_tgx_IHuhSq3AJ5eI5OnqOPBNLWSHKh2a30DoXe8/edit?usp=sharing"",""สงขลา!I238"")"),210)</f>
        <v>210</v>
      </c>
      <c r="J343" s="194">
        <f ca="1">IFERROR(__xludf.DUMMYFUNCTION("IMPORTRANGE(""https://docs.google.com/spreadsheets/d/1IYY_tgx_IHuhSq3AJ5eI5OnqOPBNLWSHKh2a30DoXe8/edit?usp=sharing"",""สงขลา!J238"")"),0)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IFERROR(__xludf.DUMMYFUNCTION("IMPORTRANGE(""https://docs.google.com/spreadsheets/d/1IYY_tgx_IHuhSq3AJ5eI5OnqOPBNLWSHKh2a30DoXe8/edit?usp=sharing"",""สงขลา!I239"")"),0)</f>
        <v>0</v>
      </c>
      <c r="J344" s="194">
        <f ca="1">IFERROR(__xludf.DUMMYFUNCTION("IMPORTRANGE(""https://docs.google.com/spreadsheets/d/1IYY_tgx_IHuhSq3AJ5eI5OnqOPBNLWSHKh2a30DoXe8/edit?usp=sharing"",""สงขลา!J239"")"),0)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IFERROR(__xludf.DUMMYFUNCTION("IMPORTRANGE(""https://docs.google.com/spreadsheets/d/1IYY_tgx_IHuhSq3AJ5eI5OnqOPBNLWSHKh2a30DoXe8/edit?usp=sharing"",""สงขลา!I240"")"),210)</f>
        <v>210</v>
      </c>
      <c r="J345" s="194">
        <f ca="1">IFERROR(__xludf.DUMMYFUNCTION("IMPORTRANGE(""https://docs.google.com/spreadsheets/d/1IYY_tgx_IHuhSq3AJ5eI5OnqOPBNLWSHKh2a30DoXe8/edit?usp=sharing"",""สงขลา!J240"")"),229)</f>
        <v>229</v>
      </c>
      <c r="K345" s="348">
        <f t="shared" ca="1" si="103"/>
        <v>109.04761904761905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IFERROR(__xludf.DUMMYFUNCTION("IMPORTRANGE(""https://docs.google.com/spreadsheets/d/1IYY_tgx_IHuhSq3AJ5eI5OnqOPBNLWSHKh2a30DoXe8/edit?usp=sharing"",""สงขลา!I241"")"),0)</f>
        <v>0</v>
      </c>
      <c r="J346" s="194">
        <f ca="1">IFERROR(__xludf.DUMMYFUNCTION("IMPORTRANGE(""https://docs.google.com/spreadsheets/d/1IYY_tgx_IHuhSq3AJ5eI5OnqOPBNLWSHKh2a30DoXe8/edit?usp=sharing"",""สงขลา!J241"")"),2777.81999999999)</f>
        <v>2777.8199999999902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IFERROR(__xludf.DUMMYFUNCTION("IMPORTRANGE(""https://docs.google.com/spreadsheets/d/1IYY_tgx_IHuhSq3AJ5eI5OnqOPBNLWSHKh2a30DoXe8/edit?usp=sharing"",""สงขลา!L242"")"),1642463.75)</f>
        <v>1642463.75</v>
      </c>
      <c r="M347" s="364"/>
      <c r="N347" s="364">
        <f ca="1">IFERROR(__xludf.DUMMYFUNCTION("IMPORTRANGE(""https://docs.google.com/spreadsheets/d/1IYY_tgx_IHuhSq3AJ5eI5OnqOPBNLWSHKh2a30DoXe8/edit?usp=sharing"",""สงขลา!M242"")"),719604)</f>
        <v>719604</v>
      </c>
      <c r="O347" s="364">
        <f ca="1">+IF(L347&gt;0,N347*100/L347,0)</f>
        <v>43.812473791278499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IFERROR(__xludf.DUMMYFUNCTION("IMPORTRANGE(""https://docs.google.com/spreadsheets/d/1IYY_tgx_IHuhSq3AJ5eI5OnqOPBNLWSHKh2a30DoXe8/edit?usp=sharing"",""สงขลา!I244"")"),230)</f>
        <v>230</v>
      </c>
      <c r="J349" s="377">
        <f ca="1">IFERROR(__xludf.DUMMYFUNCTION("IMPORTRANGE(""https://docs.google.com/spreadsheets/d/1IYY_tgx_IHuhSq3AJ5eI5OnqOPBNLWSHKh2a30DoXe8/edit?usp=sharing"",""สงขลา!J244"")"),0)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IFERROR(__xludf.DUMMYFUNCTION("IMPORTRANGE(""https://docs.google.com/spreadsheets/d/1IYY_tgx_IHuhSq3AJ5eI5OnqOPBNLWSHKh2a30DoXe8/edit?usp=sharing"",""สงขลา!L244"")"),461480)</f>
        <v>461480</v>
      </c>
      <c r="M349" s="379"/>
      <c r="N349" s="379">
        <f ca="1">IFERROR(__xludf.DUMMYFUNCTION("IMPORTRANGE(""https://docs.google.com/spreadsheets/d/1IYY_tgx_IHuhSq3AJ5eI5OnqOPBNLWSHKh2a30DoXe8/edit?usp=sharing"",""สงขลา!M244"")"),136145)</f>
        <v>136145</v>
      </c>
      <c r="O349" s="379">
        <f ca="1">+IF(L349&gt;0,N349*100/L349,0)</f>
        <v>29.501820230562537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IFERROR(__xludf.DUMMYFUNCTION("IMPORTRANGE(""https://docs.google.com/spreadsheets/d/1IYY_tgx_IHuhSq3AJ5eI5OnqOPBNLWSHKh2a30DoXe8/edit?usp=sharing"",""สงขลา!I245"")"),60)</f>
        <v>60</v>
      </c>
      <c r="J350" s="377">
        <f ca="1">IFERROR(__xludf.DUMMYFUNCTION("IMPORTRANGE(""https://docs.google.com/spreadsheets/d/1IYY_tgx_IHuhSq3AJ5eI5OnqOPBNLWSHKh2a30DoXe8/edit?usp=sharing"",""สงขลา!J245"")"),60)</f>
        <v>60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IFERROR(__xludf.DUMMYFUNCTION("IMPORTRANGE(""https://docs.google.com/spreadsheets/d/1IYY_tgx_IHuhSq3AJ5eI5OnqOPBNLWSHKh2a30DoXe8/edit?usp=sharing"",""สงขลา!L246"")"),0)</f>
        <v>0</v>
      </c>
      <c r="M351" s="168"/>
      <c r="N351" s="168">
        <f ca="1">IFERROR(__xludf.DUMMYFUNCTION("IMPORTRANGE(""https://docs.google.com/spreadsheets/d/1IYY_tgx_IHuhSq3AJ5eI5OnqOPBNLWSHKh2a30DoXe8/edit?usp=sharing"",""สงขลา!M246"")"),0)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IFERROR(__xludf.DUMMYFUNCTION("IMPORTRANGE(""https://docs.google.com/spreadsheets/d/1IYY_tgx_IHuhSq3AJ5eI5OnqOPBNLWSHKh2a30DoXe8/edit?usp=sharing"",""สงขลา!L247"")"),461480)</f>
        <v>461480</v>
      </c>
      <c r="M352" s="169"/>
      <c r="N352" s="168">
        <f ca="1">IFERROR(__xludf.DUMMYFUNCTION("IMPORTRANGE(""https://docs.google.com/spreadsheets/d/1IYY_tgx_IHuhSq3AJ5eI5OnqOPBNLWSHKh2a30DoXe8/edit?usp=sharing"",""สงขลา!M247"")"),136145)</f>
        <v>136145</v>
      </c>
      <c r="O352" s="169">
        <f t="shared" ca="1" si="105"/>
        <v>29.501820230562537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IFERROR(__xludf.DUMMYFUNCTION("IMPORTRANGE(""https://docs.google.com/spreadsheets/d/1IYY_tgx_IHuhSq3AJ5eI5OnqOPBNLWSHKh2a30DoXe8/edit?usp=sharing"",""สงขลา!L248"")"),0)</f>
        <v>0</v>
      </c>
      <c r="M353" s="175"/>
      <c r="N353" s="175">
        <f ca="1">IFERROR(__xludf.DUMMYFUNCTION("IMPORTRANGE(""https://docs.google.com/spreadsheets/d/1IYY_tgx_IHuhSq3AJ5eI5OnqOPBNLWSHKh2a30DoXe8/edit?usp=sharing"",""สงขลา!M248"")"),0)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IFERROR(__xludf.DUMMYFUNCTION("IMPORTRANGE(""https://docs.google.com/spreadsheets/d/1IYY_tgx_IHuhSq3AJ5eI5OnqOPBNLWSHKh2a30DoXe8/edit?usp=sharing"",""สงขลา!L249"")"),461480)</f>
        <v>461480</v>
      </c>
      <c r="M354" s="175"/>
      <c r="N354" s="172">
        <f ca="1">IFERROR(__xludf.DUMMYFUNCTION("IMPORTRANGE(""https://docs.google.com/spreadsheets/d/1IYY_tgx_IHuhSq3AJ5eI5OnqOPBNLWSHKh2a30DoXe8/edit?usp=sharing"",""สงขลา!M249"")"),136145)</f>
        <v>136145</v>
      </c>
      <c r="O354" s="175">
        <f t="shared" ca="1" si="105"/>
        <v>29.501820230562537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IFERROR(__xludf.DUMMYFUNCTION("IMPORTRANGE(""https://docs.google.com/spreadsheets/d/1IYY_tgx_IHuhSq3AJ5eI5OnqOPBNLWSHKh2a30DoXe8/edit?usp=sharing"",""สงขลา!M250"")"),51790)</f>
        <v>51790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IFERROR(__xludf.DUMMYFUNCTION("IMPORTRANGE(""https://docs.google.com/spreadsheets/d/1IYY_tgx_IHuhSq3AJ5eI5OnqOPBNLWSHKh2a30DoXe8/edit?usp=sharing"",""สงขลา!M251"")"),0)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IFERROR(__xludf.DUMMYFUNCTION("IMPORTRANGE(""https://docs.google.com/spreadsheets/d/1IYY_tgx_IHuhSq3AJ5eI5OnqOPBNLWSHKh2a30DoXe8/edit?usp=sharing"",""สงขลา!M252"")"),64935)</f>
        <v>64935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IFERROR(__xludf.DUMMYFUNCTION("IMPORTRANGE(""https://docs.google.com/spreadsheets/d/1IYY_tgx_IHuhSq3AJ5eI5OnqOPBNLWSHKh2a30DoXe8/edit?usp=sharing"",""สงขลา!M253"")"),19420)</f>
        <v>19420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IFERROR(__xludf.DUMMYFUNCTION("IMPORTRANGE(""https://docs.google.com/spreadsheets/d/1IYY_tgx_IHuhSq3AJ5eI5OnqOPBNLWSHKh2a30DoXe8/edit?usp=sharing"",""สงขลา!J255"")"),0)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IFERROR(__xludf.DUMMYFUNCTION("IMPORTRANGE(""https://docs.google.com/spreadsheets/d/1IYY_tgx_IHuhSq3AJ5eI5OnqOPBNLWSHKh2a30DoXe8/edit?usp=sharing"",""สงขลา!J256"")"),1)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IFERROR(__xludf.DUMMYFUNCTION("IMPORTRANGE(""https://docs.google.com/spreadsheets/d/1IYY_tgx_IHuhSq3AJ5eI5OnqOPBNLWSHKh2a30DoXe8/edit?usp=sharing"",""สงขลา!J257"")"),1)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IFERROR(__xludf.DUMMYFUNCTION("IMPORTRANGE(""https://docs.google.com/spreadsheets/d/1IYY_tgx_IHuhSq3AJ5eI5OnqOPBNLWSHKh2a30DoXe8/edit?usp=sharing"",""สงขลา!J258"")"),1)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IFERROR(__xludf.DUMMYFUNCTION("IMPORTRANGE(""https://docs.google.com/spreadsheets/d/1IYY_tgx_IHuhSq3AJ5eI5OnqOPBNLWSHKh2a30DoXe8/edit?usp=sharing"",""สงขลา!J166"")"),0)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IFERROR(__xludf.DUMMYFUNCTION("IMPORTRANGE(""https://docs.google.com/spreadsheets/d/1IYY_tgx_IHuhSq3AJ5eI5OnqOPBNLWSHKh2a30DoXe8/edit?usp=sharing"",""สงขลา!J166"")"),0)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IFERROR(__xludf.DUMMYFUNCTION("IMPORTRANGE(""https://docs.google.com/spreadsheets/d/1IYY_tgx_IHuhSq3AJ5eI5OnqOPBNLWSHKh2a30DoXe8/edit?usp=sharing"",""สงขลา!J166"")"),0)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IFERROR(__xludf.DUMMYFUNCTION("IMPORTRANGE(""https://docs.google.com/spreadsheets/d/1IYY_tgx_IHuhSq3AJ5eI5OnqOPBNLWSHKh2a30DoXe8/edit?usp=sharing"",""สงขลา!J166"")"),0)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IFERROR(__xludf.DUMMYFUNCTION("IMPORTRANGE(""https://docs.google.com/spreadsheets/d/1IYY_tgx_IHuhSq3AJ5eI5OnqOPBNLWSHKh2a30DoXe8/edit?usp=sharing"",""สงขลา!I263"")"),60)</f>
        <v>60</v>
      </c>
      <c r="J368" s="194">
        <f ca="1">IFERROR(__xludf.DUMMYFUNCTION("IMPORTRANGE(""https://docs.google.com/spreadsheets/d/1IYY_tgx_IHuhSq3AJ5eI5OnqOPBNLWSHKh2a30DoXe8/edit?usp=sharing"",""สงขลา!J263"")"),60)</f>
        <v>60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IFERROR(__xludf.DUMMYFUNCTION("IMPORTRANGE(""https://docs.google.com/spreadsheets/d/1IYY_tgx_IHuhSq3AJ5eI5OnqOPBNLWSHKh2a30DoXe8/edit?usp=sharing"",""สงขลา!I164"")"),0)</f>
        <v>0</v>
      </c>
      <c r="J369" s="210">
        <f ca="1">IFERROR(__xludf.DUMMYFUNCTION("IMPORTRANGE(""https://docs.google.com/spreadsheets/d/1IYY_tgx_IHuhSq3AJ5eI5OnqOPBNLWSHKh2a30DoXe8/edit?usp=sharing"",""สงขลา!J164"")"),0)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IFERROR(__xludf.DUMMYFUNCTION("IMPORTRANGE(""https://docs.google.com/spreadsheets/d/1IYY_tgx_IHuhSq3AJ5eI5OnqOPBNLWSHKh2a30DoXe8/edit?usp=sharing"",""สงขลา!I265"")"),60)</f>
        <v>60</v>
      </c>
      <c r="J370" s="210">
        <f ca="1">IFERROR(__xludf.DUMMYFUNCTION("IMPORTRANGE(""https://docs.google.com/spreadsheets/d/1IYY_tgx_IHuhSq3AJ5eI5OnqOPBNLWSHKh2a30DoXe8/edit?usp=sharing"",""สงขลา!J265"")"),60)</f>
        <v>60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IFERROR(__xludf.DUMMYFUNCTION("IMPORTRANGE(""https://docs.google.com/spreadsheets/d/1IYY_tgx_IHuhSq3AJ5eI5OnqOPBNLWSHKh2a30DoXe8/edit?usp=sharing"",""สงขลา!I164"")"),0)</f>
        <v>0</v>
      </c>
      <c r="J371" s="195">
        <f ca="1">IFERROR(__xludf.DUMMYFUNCTION("IMPORTRANGE(""https://docs.google.com/spreadsheets/d/1IYY_tgx_IHuhSq3AJ5eI5OnqOPBNLWSHKh2a30DoXe8/edit?usp=sharing"",""สงขลา!J164"")"),0)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IFERROR(__xludf.DUMMYFUNCTION("IMPORTRANGE(""https://docs.google.com/spreadsheets/d/1IYY_tgx_IHuhSq3AJ5eI5OnqOPBNLWSHKh2a30DoXe8/edit?usp=sharing"",""สงขลา!I267"")"),60)</f>
        <v>60</v>
      </c>
      <c r="J372" s="195">
        <f ca="1">IFERROR(__xludf.DUMMYFUNCTION("IMPORTRANGE(""https://docs.google.com/spreadsheets/d/1IYY_tgx_IHuhSq3AJ5eI5OnqOPBNLWSHKh2a30DoXe8/edit?usp=sharing"",""สงขลา!J267"")"),60)</f>
        <v>60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IFERROR(__xludf.DUMMYFUNCTION("IMPORTRANGE(""https://docs.google.com/spreadsheets/d/1IYY_tgx_IHuhSq3AJ5eI5OnqOPBNLWSHKh2a30DoXe8/edit?usp=sharing"",""สงขลา!I164"")"),0)</f>
        <v>0</v>
      </c>
      <c r="J373" s="210">
        <f ca="1">IFERROR(__xludf.DUMMYFUNCTION("IMPORTRANGE(""https://docs.google.com/spreadsheets/d/1IYY_tgx_IHuhSq3AJ5eI5OnqOPBNLWSHKh2a30DoXe8/edit?usp=sharing"",""สงขลา!J164"")"),0)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IFERROR(__xludf.DUMMYFUNCTION("IMPORTRANGE(""https://docs.google.com/spreadsheets/d/1IYY_tgx_IHuhSq3AJ5eI5OnqOPBNLWSHKh2a30DoXe8/edit?usp=sharing"",""สงขลา!I164"")"),0)</f>
        <v>0</v>
      </c>
      <c r="J374" s="194">
        <f ca="1">IFERROR(__xludf.DUMMYFUNCTION("IMPORTRANGE(""https://docs.google.com/spreadsheets/d/1IYY_tgx_IHuhSq3AJ5eI5OnqOPBNLWSHKh2a30DoXe8/edit?usp=sharing"",""สงขลา!J164"")"),0)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IFERROR(__xludf.DUMMYFUNCTION("IMPORTRANGE(""https://docs.google.com/spreadsheets/d/1IYY_tgx_IHuhSq3AJ5eI5OnqOPBNLWSHKh2a30DoXe8/edit?usp=sharing"",""สงขลา!I270"")"),230)</f>
        <v>230</v>
      </c>
      <c r="J375" s="194">
        <f ca="1">IFERROR(__xludf.DUMMYFUNCTION("IMPORTRANGE(""https://docs.google.com/spreadsheets/d/1IYY_tgx_IHuhSq3AJ5eI5OnqOPBNLWSHKh2a30DoXe8/edit?usp=sharing"",""สงขลา!J270"")"),0)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IFERROR(__xludf.DUMMYFUNCTION("IMPORTRANGE(""https://docs.google.com/spreadsheets/d/1IYY_tgx_IHuhSq3AJ5eI5OnqOPBNLWSHKh2a30DoXe8/edit?usp=sharing"",""สงขลา!I271"")"),80)</f>
        <v>80</v>
      </c>
      <c r="J376" s="195">
        <f ca="1">IFERROR(__xludf.DUMMYFUNCTION("IMPORTRANGE(""https://docs.google.com/spreadsheets/d/1IYY_tgx_IHuhSq3AJ5eI5OnqOPBNLWSHKh2a30DoXe8/edit?usp=sharing"",""สงขลา!J271"")"),0)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IFERROR(__xludf.DUMMYFUNCTION("IMPORTRANGE(""https://docs.google.com/spreadsheets/d/1IYY_tgx_IHuhSq3AJ5eI5OnqOPBNLWSHKh2a30DoXe8/edit?usp=sharing"",""สงขลา!I272"")"),150)</f>
        <v>150</v>
      </c>
      <c r="J377" s="210">
        <f ca="1">IFERROR(__xludf.DUMMYFUNCTION("IMPORTRANGE(""https://docs.google.com/spreadsheets/d/1IYY_tgx_IHuhSq3AJ5eI5OnqOPBNLWSHKh2a30DoXe8/edit?usp=sharing"",""สงขลา!J272"")"),0)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IFERROR(__xludf.DUMMYFUNCTION("IMPORTRANGE(""https://docs.google.com/spreadsheets/d/1IYY_tgx_IHuhSq3AJ5eI5OnqOPBNLWSHKh2a30DoXe8/edit?usp=sharing"",""สงขลา!J273"")"),0)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IFERROR(__xludf.DUMMYFUNCTION("IMPORTRANGE(""https://docs.google.com/spreadsheets/d/1IYY_tgx_IHuhSq3AJ5eI5OnqOPBNLWSHKh2a30DoXe8/edit?usp=sharing"",""สงขลา!J274"")"),0)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IFERROR(__xludf.DUMMYFUNCTION("IMPORTRANGE(""https://docs.google.com/spreadsheets/d/1IYY_tgx_IHuhSq3AJ5eI5OnqOPBNLWSHKh2a30DoXe8/edit?usp=sharing"",""สงขลา!I275"")"),200)</f>
        <v>200</v>
      </c>
      <c r="J380" s="377">
        <f ca="1">IFERROR(__xludf.DUMMYFUNCTION("IMPORTRANGE(""https://docs.google.com/spreadsheets/d/1IYY_tgx_IHuhSq3AJ5eI5OnqOPBNLWSHKh2a30DoXe8/edit?usp=sharing"",""สงขลา!J275"")"),0)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IFERROR(__xludf.DUMMYFUNCTION("IMPORTRANGE(""https://docs.google.com/spreadsheets/d/1IYY_tgx_IHuhSq3AJ5eI5OnqOPBNLWSHKh2a30DoXe8/edit?usp=sharing"",""สงขลา!L275"")"),207560)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IFERROR(__xludf.DUMMYFUNCTION("IMPORTRANGE(""https://docs.google.com/spreadsheets/d/1IYY_tgx_IHuhSq3AJ5eI5OnqOPBNLWSHKh2a30DoXe8/edit?usp=sharing"",""สงขลา!M275"")"),89970)</f>
        <v>89970</v>
      </c>
      <c r="O380" s="379">
        <f ca="1">+IF(L380&gt;0,N380*100/L380,0)</f>
        <v>43.346502216226632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IFERROR(__xludf.DUMMYFUNCTION("IMPORTRANGE(""https://docs.google.com/spreadsheets/d/1IYY_tgx_IHuhSq3AJ5eI5OnqOPBNLWSHKh2a30DoXe8/edit?usp=sharing"",""สงขลา!I276"")"),20)</f>
        <v>20</v>
      </c>
      <c r="J381" s="377">
        <f ca="1">IFERROR(__xludf.DUMMYFUNCTION("IMPORTRANGE(""https://docs.google.com/spreadsheets/d/1IYY_tgx_IHuhSq3AJ5eI5OnqOPBNLWSHKh2a30DoXe8/edit?usp=sharing"",""สงขลา!J276"")"),20)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IFERROR(__xludf.DUMMYFUNCTION("IMPORTRANGE(""https://docs.google.com/spreadsheets/d/1IYY_tgx_IHuhSq3AJ5eI5OnqOPBNLWSHKh2a30DoXe8/edit?usp=sharing"",""สงขลา!L277"")"),0)</f>
        <v>0</v>
      </c>
      <c r="M382" s="168"/>
      <c r="N382" s="168">
        <f ca="1">IFERROR(__xludf.DUMMYFUNCTION("IMPORTRANGE(""https://docs.google.com/spreadsheets/d/1IYY_tgx_IHuhSq3AJ5eI5OnqOPBNLWSHKh2a30DoXe8/edit?usp=sharing"",""สงขลา!M277"")"),0)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IFERROR(__xludf.DUMMYFUNCTION("IMPORTRANGE(""https://docs.google.com/spreadsheets/d/1IYY_tgx_IHuhSq3AJ5eI5OnqOPBNLWSHKh2a30DoXe8/edit?usp=sharing"",""สงขลา!L278"")"),207560)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IFERROR(__xludf.DUMMYFUNCTION("IMPORTRANGE(""https://docs.google.com/spreadsheets/d/1IYY_tgx_IHuhSq3AJ5eI5OnqOPBNLWSHKh2a30DoXe8/edit?usp=sharing"",""สงขลา!M278"")"),89970)</f>
        <v>89970</v>
      </c>
      <c r="O383" s="169">
        <f t="shared" ca="1" si="109"/>
        <v>43.346502216226632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IFERROR(__xludf.DUMMYFUNCTION("IMPORTRANGE(""https://docs.google.com/spreadsheets/d/1IYY_tgx_IHuhSq3AJ5eI5OnqOPBNLWSHKh2a30DoXe8/edit?usp=sharing"",""สงขลา!L279"")"),0)</f>
        <v>0</v>
      </c>
      <c r="M384" s="175"/>
      <c r="N384" s="175">
        <f ca="1">IFERROR(__xludf.DUMMYFUNCTION("IMPORTRANGE(""https://docs.google.com/spreadsheets/d/1IYY_tgx_IHuhSq3AJ5eI5OnqOPBNLWSHKh2a30DoXe8/edit?usp=sharing"",""สงขลา!M279"")"),0)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IFERROR(__xludf.DUMMYFUNCTION("IMPORTRANGE(""https://docs.google.com/spreadsheets/d/1IYY_tgx_IHuhSq3AJ5eI5OnqOPBNLWSHKh2a30DoXe8/edit?usp=sharing"",""สงขลา!L280"")"),207560)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IFERROR(__xludf.DUMMYFUNCTION("IMPORTRANGE(""https://docs.google.com/spreadsheets/d/1IYY_tgx_IHuhSq3AJ5eI5OnqOPBNLWSHKh2a30DoXe8/edit?usp=sharing"",""สงขลา!M280"")"),89970)</f>
        <v>89970</v>
      </c>
      <c r="O385" s="175">
        <f t="shared" ca="1" si="109"/>
        <v>43.346502216226632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IFERROR(__xludf.DUMMYFUNCTION("IMPORTRANGE(""https://docs.google.com/spreadsheets/d/1IYY_tgx_IHuhSq3AJ5eI5OnqOPBNLWSHKh2a30DoXe8/edit?usp=sharing"",""สงขลา!M281"")"),58800)</f>
        <v>58800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IFERROR(__xludf.DUMMYFUNCTION("IMPORTRANGE(""https://docs.google.com/spreadsheets/d/1IYY_tgx_IHuhSq3AJ5eI5OnqOPBNLWSHKh2a30DoXe8/edit?usp=sharing"",""สงขลา!M282"")"),16000)</f>
        <v>16000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IFERROR(__xludf.DUMMYFUNCTION("IMPORTRANGE(""https://docs.google.com/spreadsheets/d/1IYY_tgx_IHuhSq3AJ5eI5OnqOPBNLWSHKh2a30DoXe8/edit?usp=sharing"",""สงขลา!M283"")"),0)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IFERROR(__xludf.DUMMYFUNCTION("IMPORTRANGE(""https://docs.google.com/spreadsheets/d/1IYY_tgx_IHuhSq3AJ5eI5OnqOPBNLWSHKh2a30DoXe8/edit?usp=sharing"",""สงขลา!M284"")"),15170)</f>
        <v>15170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IFERROR(__xludf.DUMMYFUNCTION("IMPORTRANGE(""https://docs.google.com/spreadsheets/d/1IYY_tgx_IHuhSq3AJ5eI5OnqOPBNLWSHKh2a30DoXe8/edit?usp=sharing"",""สงขลา!J286"")"),0)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IFERROR(__xludf.DUMMYFUNCTION("IMPORTRANGE(""https://docs.google.com/spreadsheets/d/1IYY_tgx_IHuhSq3AJ5eI5OnqOPBNLWSHKh2a30DoXe8/edit?usp=sharing"",""สงขลา!J287"")"),1)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IFERROR(__xludf.DUMMYFUNCTION("IMPORTRANGE(""https://docs.google.com/spreadsheets/d/1IYY_tgx_IHuhSq3AJ5eI5OnqOPBNLWSHKh2a30DoXe8/edit?usp=sharing"",""สงขลา!J288"")"),1)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IFERROR(__xludf.DUMMYFUNCTION("IMPORTRANGE(""https://docs.google.com/spreadsheets/d/1IYY_tgx_IHuhSq3AJ5eI5OnqOPBNLWSHKh2a30DoXe8/edit?usp=sharing"",""สงขลา!J289"")"),1)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IFERROR(__xludf.DUMMYFUNCTION("IMPORTRANGE(""https://docs.google.com/spreadsheets/d/1IYY_tgx_IHuhSq3AJ5eI5OnqOPBNLWSHKh2a30DoXe8/edit?usp=sharing"",""สงขลา!I291"")"),20)</f>
        <v>20</v>
      </c>
      <c r="J396" s="204">
        <f ca="1">IFERROR(__xludf.DUMMYFUNCTION("IMPORTRANGE(""https://docs.google.com/spreadsheets/d/1IYY_tgx_IHuhSq3AJ5eI5OnqOPBNLWSHKh2a30DoXe8/edit?usp=sharing"",""สงขลา!J291"")"),20)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IFERROR(__xludf.DUMMYFUNCTION("IMPORTRANGE(""https://docs.google.com/spreadsheets/d/1IYY_tgx_IHuhSq3AJ5eI5OnqOPBNLWSHKh2a30DoXe8/edit?usp=sharing"",""สงขลา!I292"")"),200)</f>
        <v>200</v>
      </c>
      <c r="J397" s="204">
        <f ca="1">IFERROR(__xludf.DUMMYFUNCTION("IMPORTRANGE(""https://docs.google.com/spreadsheets/d/1IYY_tgx_IHuhSq3AJ5eI5OnqOPBNLWSHKh2a30DoXe8/edit?usp=sharing"",""สงขลา!J292"")"),0)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IFERROR(__xludf.DUMMYFUNCTION("IMPORTRANGE(""https://docs.google.com/spreadsheets/d/1IYY_tgx_IHuhSq3AJ5eI5OnqOPBNLWSHKh2a30DoXe8/edit?usp=sharing"",""สงขลา!I293"")"),20)</f>
        <v>20</v>
      </c>
      <c r="J398" s="204">
        <f ca="1">IFERROR(__xludf.DUMMYFUNCTION("IMPORTRANGE(""https://docs.google.com/spreadsheets/d/1IYY_tgx_IHuhSq3AJ5eI5OnqOPBNLWSHKh2a30DoXe8/edit?usp=sharing"",""สงขลา!J293"")"),0)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IFERROR(__xludf.DUMMYFUNCTION("IMPORTRANGE(""https://docs.google.com/spreadsheets/d/1IYY_tgx_IHuhSq3AJ5eI5OnqOPBNLWSHKh2a30DoXe8/edit?usp=sharing"",""สงขลา!J294"")"),0)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IFERROR(__xludf.DUMMYFUNCTION("IMPORTRANGE(""https://docs.google.com/spreadsheets/d/1IYY_tgx_IHuhSq3AJ5eI5OnqOPBNLWSHKh2a30DoXe8/edit?usp=sharing"",""สงขลา!J295"")"),0)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IFERROR(__xludf.DUMMYFUNCTION("IMPORTRANGE(""https://docs.google.com/spreadsheets/d/1IYY_tgx_IHuhSq3AJ5eI5OnqOPBNLWSHKh2a30DoXe8/edit?usp=sharing"",""สงขลา!I296"")"),150)</f>
        <v>150</v>
      </c>
      <c r="J401" s="377">
        <f ca="1">IFERROR(__xludf.DUMMYFUNCTION("IMPORTRANGE(""https://docs.google.com/spreadsheets/d/1IYY_tgx_IHuhSq3AJ5eI5OnqOPBNLWSHKh2a30DoXe8/edit?usp=sharing"",""สงขลา!J296"")"),150)</f>
        <v>150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IFERROR(__xludf.DUMMYFUNCTION("IMPORTRANGE(""https://docs.google.com/spreadsheets/d/1IYY_tgx_IHuhSq3AJ5eI5OnqOPBNLWSHKh2a30DoXe8/edit?usp=sharing"",""สงขลา!L296"")"),158400)</f>
        <v>158400</v>
      </c>
      <c r="M401" s="379"/>
      <c r="N401" s="379">
        <f ca="1">IFERROR(__xludf.DUMMYFUNCTION("IMPORTRANGE(""https://docs.google.com/spreadsheets/d/1IYY_tgx_IHuhSq3AJ5eI5OnqOPBNLWSHKh2a30DoXe8/edit?usp=sharing"",""สงขลา!M296"")"),113600)</f>
        <v>113600</v>
      </c>
      <c r="O401" s="379">
        <f ca="1">+IF(L401&gt;0,N401*100/L401,0)</f>
        <v>71.717171717171723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IFERROR(__xludf.DUMMYFUNCTION("IMPORTRANGE(""https://docs.google.com/spreadsheets/d/1IYY_tgx_IHuhSq3AJ5eI5OnqOPBNLWSHKh2a30DoXe8/edit?usp=sharing"",""สงขลา!I297"")"),50)</f>
        <v>50</v>
      </c>
      <c r="J402" s="377">
        <f ca="1">IFERROR(__xludf.DUMMYFUNCTION("IMPORTRANGE(""https://docs.google.com/spreadsheets/d/1IYY_tgx_IHuhSq3AJ5eI5OnqOPBNLWSHKh2a30DoXe8/edit?usp=sharing"",""สงขลา!J297"")"),50)</f>
        <v>50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IFERROR(__xludf.DUMMYFUNCTION("IMPORTRANGE(""https://docs.google.com/spreadsheets/d/1IYY_tgx_IHuhSq3AJ5eI5OnqOPBNLWSHKh2a30DoXe8/edit?usp=sharing"",""สงขลา!L298"")"),0)</f>
        <v>0</v>
      </c>
      <c r="M403" s="168"/>
      <c r="N403" s="175">
        <f ca="1">IFERROR(__xludf.DUMMYFUNCTION("IMPORTRANGE(""https://docs.google.com/spreadsheets/d/1IYY_tgx_IHuhSq3AJ5eI5OnqOPBNLWSHKh2a30DoXe8/edit?usp=sharing"",""สงขลา!M298"")"),0)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IFERROR(__xludf.DUMMYFUNCTION("IMPORTRANGE(""https://docs.google.com/spreadsheets/d/1IYY_tgx_IHuhSq3AJ5eI5OnqOPBNLWSHKh2a30DoXe8/edit?usp=sharing"",""สงขลา!L299"")"),158400)</f>
        <v>158400</v>
      </c>
      <c r="M404" s="169"/>
      <c r="N404" s="175">
        <f ca="1">IFERROR(__xludf.DUMMYFUNCTION("IMPORTRANGE(""https://docs.google.com/spreadsheets/d/1IYY_tgx_IHuhSq3AJ5eI5OnqOPBNLWSHKh2a30DoXe8/edit?usp=sharing"",""สงขลา!M299"")"),113600)</f>
        <v>113600</v>
      </c>
      <c r="O404" s="175">
        <f t="shared" ca="1" si="112"/>
        <v>71.717171717171723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IFERROR(__xludf.DUMMYFUNCTION("IMPORTRANGE(""https://docs.google.com/spreadsheets/d/1IYY_tgx_IHuhSq3AJ5eI5OnqOPBNLWSHKh2a30DoXe8/edit?usp=sharing"",""สงขลา!L300"")"),0)</f>
        <v>0</v>
      </c>
      <c r="M405" s="175"/>
      <c r="N405" s="175">
        <f ca="1">IFERROR(__xludf.DUMMYFUNCTION("IMPORTRANGE(""https://docs.google.com/spreadsheets/d/1IYY_tgx_IHuhSq3AJ5eI5OnqOPBNLWSHKh2a30DoXe8/edit?usp=sharing"",""สงขลา!M300"")"),0)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IFERROR(__xludf.DUMMYFUNCTION("IMPORTRANGE(""https://docs.google.com/spreadsheets/d/1IYY_tgx_IHuhSq3AJ5eI5OnqOPBNLWSHKh2a30DoXe8/edit?usp=sharing"",""สงขลา!L301"")"),158400)</f>
        <v>158400</v>
      </c>
      <c r="M406" s="175"/>
      <c r="N406" s="175">
        <f ca="1">IFERROR(__xludf.DUMMYFUNCTION("IMPORTRANGE(""https://docs.google.com/spreadsheets/d/1IYY_tgx_IHuhSq3AJ5eI5OnqOPBNLWSHKh2a30DoXe8/edit?usp=sharing"",""สงขลา!M301"")"),113600)</f>
        <v>113600</v>
      </c>
      <c r="O406" s="175">
        <f t="shared" ca="1" si="112"/>
        <v>71.717171717171723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IFERROR(__xludf.DUMMYFUNCTION("IMPORTRANGE(""https://docs.google.com/spreadsheets/d/1IYY_tgx_IHuhSq3AJ5eI5OnqOPBNLWSHKh2a30DoXe8/edit?usp=sharing"",""สงขลา!M302"")"),102600)</f>
        <v>102600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IFERROR(__xludf.DUMMYFUNCTION("IMPORTRANGE(""https://docs.google.com/spreadsheets/d/1IYY_tgx_IHuhSq3AJ5eI5OnqOPBNLWSHKh2a30DoXe8/edit?usp=sharing"",""สงขลา!M303"")"),0)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IFERROR(__xludf.DUMMYFUNCTION("IMPORTRANGE(""https://docs.google.com/spreadsheets/d/1IYY_tgx_IHuhSq3AJ5eI5OnqOPBNLWSHKh2a30DoXe8/edit?usp=sharing"",""สงขลา!M304"")"),0)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IFERROR(__xludf.DUMMYFUNCTION("IMPORTRANGE(""https://docs.google.com/spreadsheets/d/1IYY_tgx_IHuhSq3AJ5eI5OnqOPBNLWSHKh2a30DoXe8/edit?usp=sharing"",""สงขลา!M305"")"),11000)</f>
        <v>11000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IFERROR(__xludf.DUMMYFUNCTION("IMPORTRANGE(""https://docs.google.com/spreadsheets/d/1IYY_tgx_IHuhSq3AJ5eI5OnqOPBNLWSHKh2a30DoXe8/edit?usp=sharing"",""สงขลา!J307"")"),0)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IFERROR(__xludf.DUMMYFUNCTION("IMPORTRANGE(""https://docs.google.com/spreadsheets/d/1IYY_tgx_IHuhSq3AJ5eI5OnqOPBNLWSHKh2a30DoXe8/edit?usp=sharing"",""สงขลา!J308"")"),1)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IFERROR(__xludf.DUMMYFUNCTION("IMPORTRANGE(""https://docs.google.com/spreadsheets/d/1IYY_tgx_IHuhSq3AJ5eI5OnqOPBNLWSHKh2a30DoXe8/edit?usp=sharing"",""สงขลา!J309"")"),1)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IFERROR(__xludf.DUMMYFUNCTION("IMPORTRANGE(""https://docs.google.com/spreadsheets/d/1IYY_tgx_IHuhSq3AJ5eI5OnqOPBNLWSHKh2a30DoXe8/edit?usp=sharing"",""สงขลา!J310"")"),1)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IFERROR(__xludf.DUMMYFUNCTION("IMPORTRANGE(""https://docs.google.com/spreadsheets/d/1IYY_tgx_IHuhSq3AJ5eI5OnqOPBNLWSHKh2a30DoXe8/edit?usp=sharing"",""สงขลา!I311"")"),50)</f>
        <v>50</v>
      </c>
      <c r="J416" s="207">
        <f ca="1">IFERROR(__xludf.DUMMYFUNCTION("IMPORTRANGE(""https://docs.google.com/spreadsheets/d/1IYY_tgx_IHuhSq3AJ5eI5OnqOPBNLWSHKh2a30DoXe8/edit?usp=sharing"",""สงขลา!J311"")"),50)</f>
        <v>50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IFERROR(__xludf.DUMMYFUNCTION("IMPORTRANGE(""https://docs.google.com/spreadsheets/d/1IYY_tgx_IHuhSq3AJ5eI5OnqOPBNLWSHKh2a30DoXe8/edit?usp=sharing"",""สงขลา!I312"")"),0)</f>
        <v>0</v>
      </c>
      <c r="J417" s="398">
        <f ca="1">IFERROR(__xludf.DUMMYFUNCTION("IMPORTRANGE(""https://docs.google.com/spreadsheets/d/1IYY_tgx_IHuhSq3AJ5eI5OnqOPBNLWSHKh2a30DoXe8/edit?usp=sharing"",""สงขลา!J312"")"),0)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IFERROR(__xludf.DUMMYFUNCTION("IMPORTRANGE(""https://docs.google.com/spreadsheets/d/1IYY_tgx_IHuhSq3AJ5eI5OnqOPBNLWSHKh2a30DoXe8/edit?usp=sharing"",""สงขลา!I313"")"),0)</f>
        <v>0</v>
      </c>
      <c r="J418" s="399">
        <f ca="1">IFERROR(__xludf.DUMMYFUNCTION("IMPORTRANGE(""https://docs.google.com/spreadsheets/d/1IYY_tgx_IHuhSq3AJ5eI5OnqOPBNLWSHKh2a30DoXe8/edit?usp=sharing"",""สงขลา!J313"")"),0)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IFERROR(__xludf.DUMMYFUNCTION("IMPORTRANGE(""https://docs.google.com/spreadsheets/d/1IYY_tgx_IHuhSq3AJ5eI5OnqOPBNLWSHKh2a30DoXe8/edit?usp=sharing"",""สงขลา!I314"")"),0)</f>
        <v>0</v>
      </c>
      <c r="J419" s="400">
        <f ca="1">IFERROR(__xludf.DUMMYFUNCTION("IMPORTRANGE(""https://docs.google.com/spreadsheets/d/1IYY_tgx_IHuhSq3AJ5eI5OnqOPBNLWSHKh2a30DoXe8/edit?usp=sharing"",""สงขลา!J314"")"),0)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IFERROR(__xludf.DUMMYFUNCTION("IMPORTRANGE(""https://docs.google.com/spreadsheets/d/1IYY_tgx_IHuhSq3AJ5eI5OnqOPBNLWSHKh2a30DoXe8/edit?usp=sharing"",""สงขลา!I315"")"),0)</f>
        <v>0</v>
      </c>
      <c r="J420" s="400">
        <f ca="1">IFERROR(__xludf.DUMMYFUNCTION("IMPORTRANGE(""https://docs.google.com/spreadsheets/d/1IYY_tgx_IHuhSq3AJ5eI5OnqOPBNLWSHKh2a30DoXe8/edit?usp=sharing"",""สงขลา!J315"")"),0)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IFERROR(__xludf.DUMMYFUNCTION("IMPORTRANGE(""https://docs.google.com/spreadsheets/d/1IYY_tgx_IHuhSq3AJ5eI5OnqOPBNLWSHKh2a30DoXe8/edit?usp=sharing"",""สงขลา!I316"")"),40)</f>
        <v>40</v>
      </c>
      <c r="J421" s="398">
        <f ca="1">IFERROR(__xludf.DUMMYFUNCTION("IMPORTRANGE(""https://docs.google.com/spreadsheets/d/1IYY_tgx_IHuhSq3AJ5eI5OnqOPBNLWSHKh2a30DoXe8/edit?usp=sharing"",""สงขลา!J316"")"),40)</f>
        <v>40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IFERROR(__xludf.DUMMYFUNCTION("IMPORTRANGE(""https://docs.google.com/spreadsheets/d/1IYY_tgx_IHuhSq3AJ5eI5OnqOPBNLWSHKh2a30DoXe8/edit?usp=sharing"",""สงขลา!I317"")"),120)</f>
        <v>120</v>
      </c>
      <c r="J422" s="399">
        <f ca="1">IFERROR(__xludf.DUMMYFUNCTION("IMPORTRANGE(""https://docs.google.com/spreadsheets/d/1IYY_tgx_IHuhSq3AJ5eI5OnqOPBNLWSHKh2a30DoXe8/edit?usp=sharing"",""สงขลา!J317"")"),120)</f>
        <v>120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IFERROR(__xludf.DUMMYFUNCTION("IMPORTRANGE(""https://docs.google.com/spreadsheets/d/1IYY_tgx_IHuhSq3AJ5eI5OnqOPBNLWSHKh2a30DoXe8/edit?usp=sharing"",""สงขลา!I318"")"),40)</f>
        <v>40</v>
      </c>
      <c r="J423" s="400">
        <f ca="1">IFERROR(__xludf.DUMMYFUNCTION("IMPORTRANGE(""https://docs.google.com/spreadsheets/d/1IYY_tgx_IHuhSq3AJ5eI5OnqOPBNLWSHKh2a30DoXe8/edit?usp=sharing"",""สงขลา!J318"")"),40)</f>
        <v>40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IFERROR(__xludf.DUMMYFUNCTION("IMPORTRANGE(""https://docs.google.com/spreadsheets/d/1IYY_tgx_IHuhSq3AJ5eI5OnqOPBNLWSHKh2a30DoXe8/edit?usp=sharing"",""สงขลา!I319"")"),40)</f>
        <v>40</v>
      </c>
      <c r="J424" s="400">
        <f ca="1">IFERROR(__xludf.DUMMYFUNCTION("IMPORTRANGE(""https://docs.google.com/spreadsheets/d/1IYY_tgx_IHuhSq3AJ5eI5OnqOPBNLWSHKh2a30DoXe8/edit?usp=sharing"",""สงขลา!J319"")"),40)</f>
        <v>40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IFERROR(__xludf.DUMMYFUNCTION("IMPORTRANGE(""https://docs.google.com/spreadsheets/d/1IYY_tgx_IHuhSq3AJ5eI5OnqOPBNLWSHKh2a30DoXe8/edit?usp=sharing"",""สงขลา!I320"")"),40)</f>
        <v>40</v>
      </c>
      <c r="J425" s="400">
        <f ca="1">IFERROR(__xludf.DUMMYFUNCTION("IMPORTRANGE(""https://docs.google.com/spreadsheets/d/1IYY_tgx_IHuhSq3AJ5eI5OnqOPBNLWSHKh2a30DoXe8/edit?usp=sharing"",""สงขลา!J320"")"),40)</f>
        <v>40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IFERROR(__xludf.DUMMYFUNCTION("IMPORTRANGE(""https://docs.google.com/spreadsheets/d/1IYY_tgx_IHuhSq3AJ5eI5OnqOPBNLWSHKh2a30DoXe8/edit?usp=sharing"",""สงขลา!I321"")"),10)</f>
        <v>10</v>
      </c>
      <c r="J426" s="398">
        <f ca="1">IFERROR(__xludf.DUMMYFUNCTION("IMPORTRANGE(""https://docs.google.com/spreadsheets/d/1IYY_tgx_IHuhSq3AJ5eI5OnqOPBNLWSHKh2a30DoXe8/edit?usp=sharing"",""สงขลา!J321"")"),10)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IFERROR(__xludf.DUMMYFUNCTION("IMPORTRANGE(""https://docs.google.com/spreadsheets/d/1IYY_tgx_IHuhSq3AJ5eI5OnqOPBNLWSHKh2a30DoXe8/edit?usp=sharing"",""สงขลา!I322"")"),30)</f>
        <v>30</v>
      </c>
      <c r="J427" s="399">
        <f ca="1">IFERROR(__xludf.DUMMYFUNCTION("IMPORTRANGE(""https://docs.google.com/spreadsheets/d/1IYY_tgx_IHuhSq3AJ5eI5OnqOPBNLWSHKh2a30DoXe8/edit?usp=sharing"",""สงขลา!J322"")"),30)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IFERROR(__xludf.DUMMYFUNCTION("IMPORTRANGE(""https://docs.google.com/spreadsheets/d/1IYY_tgx_IHuhSq3AJ5eI5OnqOPBNLWSHKh2a30DoXe8/edit?usp=sharing"",""สงขลา!I323"")"),10)</f>
        <v>10</v>
      </c>
      <c r="J428" s="400">
        <f ca="1">IFERROR(__xludf.DUMMYFUNCTION("IMPORTRANGE(""https://docs.google.com/spreadsheets/d/1IYY_tgx_IHuhSq3AJ5eI5OnqOPBNLWSHKh2a30DoXe8/edit?usp=sharing"",""สงขลา!J323"")"),10)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IFERROR(__xludf.DUMMYFUNCTION("IMPORTRANGE(""https://docs.google.com/spreadsheets/d/1IYY_tgx_IHuhSq3AJ5eI5OnqOPBNLWSHKh2a30DoXe8/edit?usp=sharing"",""สงขลา!I324"")"),10)</f>
        <v>10</v>
      </c>
      <c r="J429" s="400">
        <f ca="1">IFERROR(__xludf.DUMMYFUNCTION("IMPORTRANGE(""https://docs.google.com/spreadsheets/d/1IYY_tgx_IHuhSq3AJ5eI5OnqOPBNLWSHKh2a30DoXe8/edit?usp=sharing"",""สงขลา!J324"")"),10)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IFERROR(__xludf.DUMMYFUNCTION("IMPORTRANGE(""https://docs.google.com/spreadsheets/d/1IYY_tgx_IHuhSq3AJ5eI5OnqOPBNLWSHKh2a30DoXe8/edit?usp=sharing"",""สงขลา!I325"")"),40)</f>
        <v>40</v>
      </c>
      <c r="J430" s="398">
        <f ca="1">IFERROR(__xludf.DUMMYFUNCTION("IMPORTRANGE(""https://docs.google.com/spreadsheets/d/1IYY_tgx_IHuhSq3AJ5eI5OnqOPBNLWSHKh2a30DoXe8/edit?usp=sharing"",""สงขลา!J325"")"),0)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IFERROR(__xludf.DUMMYFUNCTION("IMPORTRANGE(""https://docs.google.com/spreadsheets/d/1IYY_tgx_IHuhSq3AJ5eI5OnqOPBNLWSHKh2a30DoXe8/edit?usp=sharing"",""สงขลา!I326"")"),0)</f>
        <v>0</v>
      </c>
      <c r="J431" s="400">
        <f ca="1">IFERROR(__xludf.DUMMYFUNCTION("IMPORTRANGE(""https://docs.google.com/spreadsheets/d/1IYY_tgx_IHuhSq3AJ5eI5OnqOPBNLWSHKh2a30DoXe8/edit?usp=sharing"",""สงขลา!J326"")"),0)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IFERROR(__xludf.DUMMYFUNCTION("IMPORTRANGE(""https://docs.google.com/spreadsheets/d/1IYY_tgx_IHuhSq3AJ5eI5OnqOPBNLWSHKh2a30DoXe8/edit?usp=sharing"",""สงขลา!I327"")"),40)</f>
        <v>40</v>
      </c>
      <c r="J432" s="400">
        <f ca="1">IFERROR(__xludf.DUMMYFUNCTION("IMPORTRANGE(""https://docs.google.com/spreadsheets/d/1IYY_tgx_IHuhSq3AJ5eI5OnqOPBNLWSHKh2a30DoXe8/edit?usp=sharing"",""สงขลา!J327"")"),0)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IFERROR(__xludf.DUMMYFUNCTION("IMPORTRANGE(""https://docs.google.com/spreadsheets/d/1IYY_tgx_IHuhSq3AJ5eI5OnqOPBNLWSHKh2a30DoXe8/edit?usp=sharing"",""สงขลา!J328"")"),0)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IFERROR(__xludf.DUMMYFUNCTION("IMPORTRANGE(""https://docs.google.com/spreadsheets/d/1IYY_tgx_IHuhSq3AJ5eI5OnqOPBNLWSHKh2a30DoXe8/edit?usp=sharing"",""สงขลา!J329"")"),0)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IFERROR(__xludf.DUMMYFUNCTION("IMPORTRANGE(""https://docs.google.com/spreadsheets/d/1IYY_tgx_IHuhSq3AJ5eI5OnqOPBNLWSHKh2a30DoXe8/edit?usp=sharing"",""สงขลา!I330"")"),15)</f>
        <v>15</v>
      </c>
      <c r="J435" s="416">
        <f ca="1">IFERROR(__xludf.DUMMYFUNCTION("IMPORTRANGE(""https://docs.google.com/spreadsheets/d/1IYY_tgx_IHuhSq3AJ5eI5OnqOPBNLWSHKh2a30DoXe8/edit?usp=sharing"",""สงขลา!J330"")"),15)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IFERROR(__xludf.DUMMYFUNCTION("IMPORTRANGE(""https://docs.google.com/spreadsheets/d/1IYY_tgx_IHuhSq3AJ5eI5OnqOPBNLWSHKh2a30DoXe8/edit?usp=sharing"",""สงขลา!L330"")"),88000)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IFERROR(__xludf.DUMMYFUNCTION("IMPORTRANGE(""https://docs.google.com/spreadsheets/d/1IYY_tgx_IHuhSq3AJ5eI5OnqOPBNLWSHKh2a30DoXe8/edit?usp=sharing"",""สงขลา!M330"")"),54340)</f>
        <v>54340</v>
      </c>
      <c r="O435" s="418">
        <f t="shared" ref="O435:O439" ca="1" si="114">+IF(L435&gt;0,N435*100/L435,0)</f>
        <v>61.75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IFERROR(__xludf.DUMMYFUNCTION("IMPORTRANGE(""https://docs.google.com/spreadsheets/d/1IYY_tgx_IHuhSq3AJ5eI5OnqOPBNLWSHKh2a30DoXe8/edit?usp=sharing"",""สงขลา!L331"")"),0)</f>
        <v>0</v>
      </c>
      <c r="M436" s="168"/>
      <c r="N436" s="175">
        <f ca="1">IFERROR(__xludf.DUMMYFUNCTION("IMPORTRANGE(""https://docs.google.com/spreadsheets/d/1IYY_tgx_IHuhSq3AJ5eI5OnqOPBNLWSHKh2a30DoXe8/edit?usp=sharing"",""สงขลา!M331"")"),0)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IFERROR(__xludf.DUMMYFUNCTION("IMPORTRANGE(""https://docs.google.com/spreadsheets/d/1IYY_tgx_IHuhSq3AJ5eI5OnqOPBNLWSHKh2a30DoXe8/edit?usp=sharing"",""สงขลา!L332"")"),88000)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IFERROR(__xludf.DUMMYFUNCTION("IMPORTRANGE(""https://docs.google.com/spreadsheets/d/1IYY_tgx_IHuhSq3AJ5eI5OnqOPBNLWSHKh2a30DoXe8/edit?usp=sharing"",""สงขลา!M332"")"),54340)</f>
        <v>54340</v>
      </c>
      <c r="O437" s="175">
        <f t="shared" ca="1" si="114"/>
        <v>61.75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IFERROR(__xludf.DUMMYFUNCTION("IMPORTRANGE(""https://docs.google.com/spreadsheets/d/1IYY_tgx_IHuhSq3AJ5eI5OnqOPBNLWSHKh2a30DoXe8/edit?usp=sharing"",""สงขลา!L333"")"),0)</f>
        <v>0</v>
      </c>
      <c r="M438" s="175"/>
      <c r="N438" s="175">
        <f ca="1">IFERROR(__xludf.DUMMYFUNCTION("IMPORTRANGE(""https://docs.google.com/spreadsheets/d/1IYY_tgx_IHuhSq3AJ5eI5OnqOPBNLWSHKh2a30DoXe8/edit?usp=sharing"",""สงขลา!M333"")"),0)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IFERROR(__xludf.DUMMYFUNCTION("IMPORTRANGE(""https://docs.google.com/spreadsheets/d/1IYY_tgx_IHuhSq3AJ5eI5OnqOPBNLWSHKh2a30DoXe8/edit?usp=sharing"",""สงขลา!L334"")"),88000)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IFERROR(__xludf.DUMMYFUNCTION("IMPORTRANGE(""https://docs.google.com/spreadsheets/d/1IYY_tgx_IHuhSq3AJ5eI5OnqOPBNLWSHKh2a30DoXe8/edit?usp=sharing"",""สงขลา!M334"")"),54340)</f>
        <v>54340</v>
      </c>
      <c r="O439" s="175">
        <f t="shared" ca="1" si="114"/>
        <v>61.75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IFERROR(__xludf.DUMMYFUNCTION("IMPORTRANGE(""https://docs.google.com/spreadsheets/d/1IYY_tgx_IHuhSq3AJ5eI5OnqOPBNLWSHKh2a30DoXe8/edit?usp=sharing"",""สงขลา!M335"")"),38360)</f>
        <v>38360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IFERROR(__xludf.DUMMYFUNCTION("IMPORTRANGE(""https://docs.google.com/spreadsheets/d/1IYY_tgx_IHuhSq3AJ5eI5OnqOPBNLWSHKh2a30DoXe8/edit?usp=sharing"",""สงขลา!M336"")"),0)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IFERROR(__xludf.DUMMYFUNCTION("IMPORTRANGE(""https://docs.google.com/spreadsheets/d/1IYY_tgx_IHuhSq3AJ5eI5OnqOPBNLWSHKh2a30DoXe8/edit?usp=sharing"",""สงขลา!M337"")"),0)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IFERROR(__xludf.DUMMYFUNCTION("IMPORTRANGE(""https://docs.google.com/spreadsheets/d/1IYY_tgx_IHuhSq3AJ5eI5OnqOPBNLWSHKh2a30DoXe8/edit?usp=sharing"",""สงขลา!M338"")"),15980)</f>
        <v>15980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IFERROR(__xludf.DUMMYFUNCTION("IMPORTRANGE(""https://docs.google.com/spreadsheets/d/1IYY_tgx_IHuhSq3AJ5eI5OnqOPBNLWSHKh2a30DoXe8/edit?usp=sharing"",""สงขลา!J340"")"),0)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IFERROR(__xludf.DUMMYFUNCTION("IMPORTRANGE(""https://docs.google.com/spreadsheets/d/1IYY_tgx_IHuhSq3AJ5eI5OnqOPBNLWSHKh2a30DoXe8/edit?usp=sharing"",""สงขลา!J341"")"),1)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IFERROR(__xludf.DUMMYFUNCTION("IMPORTRANGE(""https://docs.google.com/spreadsheets/d/1IYY_tgx_IHuhSq3AJ5eI5OnqOPBNLWSHKh2a30DoXe8/edit?usp=sharing"",""สงขลา!J342"")"),1)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IFERROR(__xludf.DUMMYFUNCTION("IMPORTRANGE(""https://docs.google.com/spreadsheets/d/1IYY_tgx_IHuhSq3AJ5eI5OnqOPBNLWSHKh2a30DoXe8/edit?usp=sharing"",""สงขลา!J343"")"),1)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IFERROR(__xludf.DUMMYFUNCTION("IMPORTRANGE(""https://docs.google.com/spreadsheets/d/1IYY_tgx_IHuhSq3AJ5eI5OnqOPBNLWSHKh2a30DoXe8/edit?usp=sharing"",""สงขลา!I344"")"),15)</f>
        <v>15</v>
      </c>
      <c r="J449" s="207">
        <f ca="1">IFERROR(__xludf.DUMMYFUNCTION("IMPORTRANGE(""https://docs.google.com/spreadsheets/d/1IYY_tgx_IHuhSq3AJ5eI5OnqOPBNLWSHKh2a30DoXe8/edit?usp=sharing"",""สงขลา!J344"")"),15)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IFERROR(__xludf.DUMMYFUNCTION("IMPORTRANGE(""https://docs.google.com/spreadsheets/d/1IYY_tgx_IHuhSq3AJ5eI5OnqOPBNLWSHKh2a30DoXe8/edit?usp=sharing"",""สงขลา!I345"")"),15)</f>
        <v>15</v>
      </c>
      <c r="J450" s="195">
        <f ca="1">IFERROR(__xludf.DUMMYFUNCTION("IMPORTRANGE(""https://docs.google.com/spreadsheets/d/1IYY_tgx_IHuhSq3AJ5eI5OnqOPBNLWSHKh2a30DoXe8/edit?usp=sharing"",""สงขลา!J345"")"),15)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IFERROR(__xludf.DUMMYFUNCTION("IMPORTRANGE(""https://docs.google.com/spreadsheets/d/1IYY_tgx_IHuhSq3AJ5eI5OnqOPBNLWSHKh2a30DoXe8/edit?usp=sharing"",""สงขลา!I346"")"),0)</f>
        <v>0</v>
      </c>
      <c r="J451" s="194">
        <f ca="1">IFERROR(__xludf.DUMMYFUNCTION("IMPORTRANGE(""https://docs.google.com/spreadsheets/d/1IYY_tgx_IHuhSq3AJ5eI5OnqOPBNLWSHKh2a30DoXe8/edit?usp=sharing"",""สงขลา!J346"")"),0)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IFERROR(__xludf.DUMMYFUNCTION("IMPORTRANGE(""https://docs.google.com/spreadsheets/d/1IYY_tgx_IHuhSq3AJ5eI5OnqOPBNLWSHKh2a30DoXe8/edit?usp=sharing"",""สงขลา!I347"")"),0)</f>
        <v>0</v>
      </c>
      <c r="J452" s="194">
        <f ca="1">IFERROR(__xludf.DUMMYFUNCTION("IMPORTRANGE(""https://docs.google.com/spreadsheets/d/1IYY_tgx_IHuhSq3AJ5eI5OnqOPBNLWSHKh2a30DoXe8/edit?usp=sharing"",""สงขลา!J347"")"),0)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IFERROR(__xludf.DUMMYFUNCTION("IMPORTRANGE(""https://docs.google.com/spreadsheets/d/1IYY_tgx_IHuhSq3AJ5eI5OnqOPBNLWSHKh2a30DoXe8/edit?usp=sharing"",""สงขลา!J348"")"),0)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IFERROR(__xludf.DUMMYFUNCTION("IMPORTRANGE(""https://docs.google.com/spreadsheets/d/1IYY_tgx_IHuhSq3AJ5eI5OnqOPBNLWSHKh2a30DoXe8/edit?usp=sharing"",""สงขลา!J349"")"),0)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IFERROR(__xludf.DUMMYFUNCTION("IMPORTRANGE(""https://docs.google.com/spreadsheets/d/1IYY_tgx_IHuhSq3AJ5eI5OnqOPBNLWSHKh2a30DoXe8/edit?usp=sharing"",""สงขลา!I350"")"),27425)</f>
        <v>27425</v>
      </c>
      <c r="J455" s="377">
        <f ca="1">IFERROR(__xludf.DUMMYFUNCTION("IMPORTRANGE(""https://docs.google.com/spreadsheets/d/1IYY_tgx_IHuhSq3AJ5eI5OnqOPBNLWSHKh2a30DoXe8/edit?usp=sharing"",""สงขลา!J350"")"),0)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IFERROR(__xludf.DUMMYFUNCTION("IMPORTRANGE(""https://docs.google.com/spreadsheets/d/1IYY_tgx_IHuhSq3AJ5eI5OnqOPBNLWSHKh2a30DoXe8/edit?usp=sharing"",""สงขลา!L350"")"),189613.75)</f>
        <v>189613.75</v>
      </c>
      <c r="M455" s="379"/>
      <c r="N455" s="379">
        <f ca="1">IFERROR(__xludf.DUMMYFUNCTION("IMPORTRANGE(""https://docs.google.com/spreadsheets/d/1IYY_tgx_IHuhSq3AJ5eI5OnqOPBNLWSHKh2a30DoXe8/edit?usp=sharing"",""สงขลา!M350"")"),30564)</f>
        <v>30564</v>
      </c>
      <c r="O455" s="379">
        <f t="shared" ref="O455:O459" ca="1" si="116">+IF(L455&gt;0,N455*100/L455,0)</f>
        <v>16.119084190888056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IFERROR(__xludf.DUMMYFUNCTION("IMPORTRANGE(""https://docs.google.com/spreadsheets/d/1IYY_tgx_IHuhSq3AJ5eI5OnqOPBNLWSHKh2a30DoXe8/edit?usp=sharing"",""สงขลา!L351"")"),0)</f>
        <v>0</v>
      </c>
      <c r="M456" s="168"/>
      <c r="N456" s="175">
        <f ca="1">IFERROR(__xludf.DUMMYFUNCTION("IMPORTRANGE(""https://docs.google.com/spreadsheets/d/1IYY_tgx_IHuhSq3AJ5eI5OnqOPBNLWSHKh2a30DoXe8/edit?usp=sharing"",""สงขลา!M351"")"),0)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IFERROR(__xludf.DUMMYFUNCTION("IMPORTRANGE(""https://docs.google.com/spreadsheets/d/1IYY_tgx_IHuhSq3AJ5eI5OnqOPBNLWSHKh2a30DoXe8/edit?usp=sharing"",""สงขลา!L352"")"),189613.75)</f>
        <v>189613.75</v>
      </c>
      <c r="M457" s="169"/>
      <c r="N457" s="175">
        <f ca="1">IFERROR(__xludf.DUMMYFUNCTION("IMPORTRANGE(""https://docs.google.com/spreadsheets/d/1IYY_tgx_IHuhSq3AJ5eI5OnqOPBNLWSHKh2a30DoXe8/edit?usp=sharing"",""สงขลา!M352"")"),30564)</f>
        <v>30564</v>
      </c>
      <c r="O457" s="175">
        <f t="shared" ca="1" si="116"/>
        <v>16.119084190888056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IFERROR(__xludf.DUMMYFUNCTION("IMPORTRANGE(""https://docs.google.com/spreadsheets/d/1IYY_tgx_IHuhSq3AJ5eI5OnqOPBNLWSHKh2a30DoXe8/edit?usp=sharing"",""สงขลา!L353"")"),0)</f>
        <v>0</v>
      </c>
      <c r="M458" s="175"/>
      <c r="N458" s="175">
        <f ca="1">IFERROR(__xludf.DUMMYFUNCTION("IMPORTRANGE(""https://docs.google.com/spreadsheets/d/1IYY_tgx_IHuhSq3AJ5eI5OnqOPBNLWSHKh2a30DoXe8/edit?usp=sharing"",""สงขลา!M353"")"),0)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IFERROR(__xludf.DUMMYFUNCTION("IMPORTRANGE(""https://docs.google.com/spreadsheets/d/1IYY_tgx_IHuhSq3AJ5eI5OnqOPBNLWSHKh2a30DoXe8/edit?usp=sharing"",""สงขลา!L354"")"),189613.75)</f>
        <v>189613.75</v>
      </c>
      <c r="M459" s="175"/>
      <c r="N459" s="175">
        <f ca="1">IFERROR(__xludf.DUMMYFUNCTION("IMPORTRANGE(""https://docs.google.com/spreadsheets/d/1IYY_tgx_IHuhSq3AJ5eI5OnqOPBNLWSHKh2a30DoXe8/edit?usp=sharing"",""สงขลา!M354"")"),30564)</f>
        <v>30564</v>
      </c>
      <c r="O459" s="175">
        <f t="shared" ca="1" si="116"/>
        <v>16.119084190888056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IFERROR(__xludf.DUMMYFUNCTION("IMPORTRANGE(""https://docs.google.com/spreadsheets/d/1IYY_tgx_IHuhSq3AJ5eI5OnqOPBNLWSHKh2a30DoXe8/edit?usp=sharing"",""สงขลา!M355"")"),0)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IFERROR(__xludf.DUMMYFUNCTION("IMPORTRANGE(""https://docs.google.com/spreadsheets/d/1IYY_tgx_IHuhSq3AJ5eI5OnqOPBNLWSHKh2a30DoXe8/edit?usp=sharing"",""สงขลา!M356"")"),0)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IFERROR(__xludf.DUMMYFUNCTION("IMPORTRANGE(""https://docs.google.com/spreadsheets/d/1IYY_tgx_IHuhSq3AJ5eI5OnqOPBNLWSHKh2a30DoXe8/edit?usp=sharing"",""สงขลา!M357"")"),0)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IFERROR(__xludf.DUMMYFUNCTION("IMPORTRANGE(""https://docs.google.com/spreadsheets/d/1IYY_tgx_IHuhSq3AJ5eI5OnqOPBNLWSHKh2a30DoXe8/edit?usp=sharing"",""สงขลา!M358"")"),30564)</f>
        <v>30564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IFERROR(__xludf.DUMMYFUNCTION("IMPORTRANGE(""https://docs.google.com/spreadsheets/d/1IYY_tgx_IHuhSq3AJ5eI5OnqOPBNLWSHKh2a30DoXe8/edit?usp=sharing"",""สงขลา!I359"")"),27425)</f>
        <v>27425</v>
      </c>
      <c r="J464" s="273">
        <f ca="1">IFERROR(__xludf.DUMMYFUNCTION("IMPORTRANGE(""https://docs.google.com/spreadsheets/d/1IYY_tgx_IHuhSq3AJ5eI5OnqOPBNLWSHKh2a30DoXe8/edit?usp=sharing"",""สงขลา!J359"")"),0)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IFERROR(__xludf.DUMMYFUNCTION("IMPORTRANGE(""https://docs.google.com/spreadsheets/d/1IYY_tgx_IHuhSq3AJ5eI5OnqOPBNLWSHKh2a30DoXe8/edit?usp=sharing"",""สงขลา!I360"")"),27425)</f>
        <v>27425</v>
      </c>
      <c r="J465" s="426">
        <f ca="1">IFERROR(__xludf.DUMMYFUNCTION("IMPORTRANGE(""https://docs.google.com/spreadsheets/d/1IYY_tgx_IHuhSq3AJ5eI5OnqOPBNLWSHKh2a30DoXe8/edit?usp=sharing"",""สงขลา!J360"")"),27426)</f>
        <v>27426</v>
      </c>
      <c r="K465" s="208">
        <f t="shared" ca="1" si="117"/>
        <v>100.00364630811303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IFERROR(__xludf.DUMMYFUNCTION("IMPORTRANGE(""https://docs.google.com/spreadsheets/d/1IYY_tgx_IHuhSq3AJ5eI5OnqOPBNLWSHKh2a30DoXe8/edit?usp=sharing"",""สงขลา!I361"")"),3251)</f>
        <v>3251</v>
      </c>
      <c r="J466" s="426">
        <f ca="1">IFERROR(__xludf.DUMMYFUNCTION("IMPORTRANGE(""https://docs.google.com/spreadsheets/d/1IYY_tgx_IHuhSq3AJ5eI5OnqOPBNLWSHKh2a30DoXe8/edit?usp=sharing"",""สงขลา!J361"")"),3251)</f>
        <v>3251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IFERROR(__xludf.DUMMYFUNCTION("IMPORTRANGE(""https://docs.google.com/spreadsheets/d/1IYY_tgx_IHuhSq3AJ5eI5OnqOPBNLWSHKh2a30DoXe8/edit?usp=sharing"",""สงขลา!I362"")"),0)</f>
        <v>0</v>
      </c>
      <c r="J467" s="195">
        <f ca="1">IFERROR(__xludf.DUMMYFUNCTION("IMPORTRANGE(""https://docs.google.com/spreadsheets/d/1IYY_tgx_IHuhSq3AJ5eI5OnqOPBNLWSHKh2a30DoXe8/edit?usp=sharing"",""สงขลา!J362"")"),25528)</f>
        <v>25528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IFERROR(__xludf.DUMMYFUNCTION("IMPORTRANGE(""https://docs.google.com/spreadsheets/d/1IYY_tgx_IHuhSq3AJ5eI5OnqOPBNLWSHKh2a30DoXe8/edit?usp=sharing"",""สงขลา!I363"")"),0)</f>
        <v>0</v>
      </c>
      <c r="J468" s="195">
        <f ca="1">IFERROR(__xludf.DUMMYFUNCTION("IMPORTRANGE(""https://docs.google.com/spreadsheets/d/1IYY_tgx_IHuhSq3AJ5eI5OnqOPBNLWSHKh2a30DoXe8/edit?usp=sharing"",""สงขลา!J363"")"),3049)</f>
        <v>3049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IFERROR(__xludf.DUMMYFUNCTION("IMPORTRANGE(""https://docs.google.com/spreadsheets/d/1IYY_tgx_IHuhSq3AJ5eI5OnqOPBNLWSHKh2a30DoXe8/edit?usp=sharing"",""สงขลา!I364"")"),0)</f>
        <v>0</v>
      </c>
      <c r="J469" s="195">
        <f ca="1">IFERROR(__xludf.DUMMYFUNCTION("IMPORTRANGE(""https://docs.google.com/spreadsheets/d/1IYY_tgx_IHuhSq3AJ5eI5OnqOPBNLWSHKh2a30DoXe8/edit?usp=sharing"",""สงขลา!J364"")"),1181)</f>
        <v>1181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IFERROR(__xludf.DUMMYFUNCTION("IMPORTRANGE(""https://docs.google.com/spreadsheets/d/1IYY_tgx_IHuhSq3AJ5eI5OnqOPBNLWSHKh2a30DoXe8/edit?usp=sharing"",""สงขลา!I365"")"),0)</f>
        <v>0</v>
      </c>
      <c r="J470" s="195">
        <f ca="1">IFERROR(__xludf.DUMMYFUNCTION("IMPORTRANGE(""https://docs.google.com/spreadsheets/d/1IYY_tgx_IHuhSq3AJ5eI5OnqOPBNLWSHKh2a30DoXe8/edit?usp=sharing"",""สงขลา!J365"")"),132)</f>
        <v>132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IFERROR(__xludf.DUMMYFUNCTION("IMPORTRANGE(""https://docs.google.com/spreadsheets/d/1IYY_tgx_IHuhSq3AJ5eI5OnqOPBNLWSHKh2a30DoXe8/edit?usp=sharing"",""สงขลา!I366"")"),0)</f>
        <v>0</v>
      </c>
      <c r="J471" s="195">
        <f ca="1">IFERROR(__xludf.DUMMYFUNCTION("IMPORTRANGE(""https://docs.google.com/spreadsheets/d/1IYY_tgx_IHuhSq3AJ5eI5OnqOPBNLWSHKh2a30DoXe8/edit?usp=sharing"",""สงขลา!J366"")"),717)</f>
        <v>717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IFERROR(__xludf.DUMMYFUNCTION("IMPORTRANGE(""https://docs.google.com/spreadsheets/d/1IYY_tgx_IHuhSq3AJ5eI5OnqOPBNLWSHKh2a30DoXe8/edit?usp=sharing"",""สงขลา!I367"")"),0)</f>
        <v>0</v>
      </c>
      <c r="J472" s="195">
        <f ca="1">IFERROR(__xludf.DUMMYFUNCTION("IMPORTRANGE(""https://docs.google.com/spreadsheets/d/1IYY_tgx_IHuhSq3AJ5eI5OnqOPBNLWSHKh2a30DoXe8/edit?usp=sharing"",""สงขลา!J367"")"),70)</f>
        <v>70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IFERROR(__xludf.DUMMYFUNCTION("IMPORTRANGE(""https://docs.google.com/spreadsheets/d/1IYY_tgx_IHuhSq3AJ5eI5OnqOPBNLWSHKh2a30DoXe8/edit?usp=sharing"",""สงขลา!I368"")"),27425)</f>
        <v>27425</v>
      </c>
      <c r="J473" s="426">
        <f ca="1">IFERROR(__xludf.DUMMYFUNCTION("IMPORTRANGE(""https://docs.google.com/spreadsheets/d/1IYY_tgx_IHuhSq3AJ5eI5OnqOPBNLWSHKh2a30DoXe8/edit?usp=sharing"",""สงขลา!J368"")"),27426)</f>
        <v>27426</v>
      </c>
      <c r="K473" s="208">
        <f t="shared" ca="1" si="117"/>
        <v>100.00364630811303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IFERROR(__xludf.DUMMYFUNCTION("IMPORTRANGE(""https://docs.google.com/spreadsheets/d/1IYY_tgx_IHuhSq3AJ5eI5OnqOPBNLWSHKh2a30DoXe8/edit?usp=sharing"",""สงขลา!I369"")"),3251)</f>
        <v>3251</v>
      </c>
      <c r="J474" s="426">
        <f ca="1">IFERROR(__xludf.DUMMYFUNCTION("IMPORTRANGE(""https://docs.google.com/spreadsheets/d/1IYY_tgx_IHuhSq3AJ5eI5OnqOPBNLWSHKh2a30DoXe8/edit?usp=sharing"",""สงขลา!J369"")"),3251)</f>
        <v>3251</v>
      </c>
      <c r="K474" s="167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IFERROR(__xludf.DUMMYFUNCTION("IMPORTRANGE(""https://docs.google.com/spreadsheets/d/1IYY_tgx_IHuhSq3AJ5eI5OnqOPBNLWSHKh2a30DoXe8/edit?usp=sharing"",""สงขลา!I370"")"),0)</f>
        <v>0</v>
      </c>
      <c r="J475" s="195">
        <f ca="1">IFERROR(__xludf.DUMMYFUNCTION("IMPORTRANGE(""https://docs.google.com/spreadsheets/d/1IYY_tgx_IHuhSq3AJ5eI5OnqOPBNLWSHKh2a30DoXe8/edit?usp=sharing"",""สงขลา!J370"")"),25991)</f>
        <v>25991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IFERROR(__xludf.DUMMYFUNCTION("IMPORTRANGE(""https://docs.google.com/spreadsheets/d/1IYY_tgx_IHuhSq3AJ5eI5OnqOPBNLWSHKh2a30DoXe8/edit?usp=sharing"",""สงขลา!I371"")"),0)</f>
        <v>0</v>
      </c>
      <c r="J476" s="195">
        <f ca="1">IFERROR(__xludf.DUMMYFUNCTION("IMPORTRANGE(""https://docs.google.com/spreadsheets/d/1IYY_tgx_IHuhSq3AJ5eI5OnqOPBNLWSHKh2a30DoXe8/edit?usp=sharing"",""สงขลา!J371"")"),3111)</f>
        <v>3111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IFERROR(__xludf.DUMMYFUNCTION("IMPORTRANGE(""https://docs.google.com/spreadsheets/d/1IYY_tgx_IHuhSq3AJ5eI5OnqOPBNLWSHKh2a30DoXe8/edit?usp=sharing"",""สงขลา!I372"")"),0)</f>
        <v>0</v>
      </c>
      <c r="J477" s="195">
        <f ca="1">IFERROR(__xludf.DUMMYFUNCTION("IMPORTRANGE(""https://docs.google.com/spreadsheets/d/1IYY_tgx_IHuhSq3AJ5eI5OnqOPBNLWSHKh2a30DoXe8/edit?usp=sharing"",""สงขลา!J372"")"),698)</f>
        <v>698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IFERROR(__xludf.DUMMYFUNCTION("IMPORTRANGE(""https://docs.google.com/spreadsheets/d/1IYY_tgx_IHuhSq3AJ5eI5OnqOPBNLWSHKh2a30DoXe8/edit?usp=sharing"",""สงขลา!I373"")"),0)</f>
        <v>0</v>
      </c>
      <c r="J478" s="195">
        <f ca="1">IFERROR(__xludf.DUMMYFUNCTION("IMPORTRANGE(""https://docs.google.com/spreadsheets/d/1IYY_tgx_IHuhSq3AJ5eI5OnqOPBNLWSHKh2a30DoXe8/edit?usp=sharing"",""สงขลา!J373"")"),67)</f>
        <v>67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IFERROR(__xludf.DUMMYFUNCTION("IMPORTRANGE(""https://docs.google.com/spreadsheets/d/1IYY_tgx_IHuhSq3AJ5eI5OnqOPBNLWSHKh2a30DoXe8/edit?usp=sharing"",""สงขลา!I374"")"),0)</f>
        <v>0</v>
      </c>
      <c r="J479" s="195">
        <f ca="1">IFERROR(__xludf.DUMMYFUNCTION("IMPORTRANGE(""https://docs.google.com/spreadsheets/d/1IYY_tgx_IHuhSq3AJ5eI5OnqOPBNLWSHKh2a30DoXe8/edit?usp=sharing"",""สงขลา!J374"")"),737)</f>
        <v>737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IFERROR(__xludf.DUMMYFUNCTION("IMPORTRANGE(""https://docs.google.com/spreadsheets/d/1IYY_tgx_IHuhSq3AJ5eI5OnqOPBNLWSHKh2a30DoXe8/edit?usp=sharing"",""สงขลา!I375"")"),0)</f>
        <v>0</v>
      </c>
      <c r="J480" s="195">
        <f ca="1">IFERROR(__xludf.DUMMYFUNCTION("IMPORTRANGE(""https://docs.google.com/spreadsheets/d/1IYY_tgx_IHuhSq3AJ5eI5OnqOPBNLWSHKh2a30DoXe8/edit?usp=sharing"",""สงขลา!J375"")"),73)</f>
        <v>73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IFERROR(__xludf.DUMMYFUNCTION("IMPORTRANGE(""https://docs.google.com/spreadsheets/d/1IYY_tgx_IHuhSq3AJ5eI5OnqOPBNLWSHKh2a30DoXe8/edit?usp=sharing"",""สงขลา!I376"")"),27425)</f>
        <v>27425</v>
      </c>
      <c r="J481" s="426">
        <f ca="1">IFERROR(__xludf.DUMMYFUNCTION("IMPORTRANGE(""https://docs.google.com/spreadsheets/d/1IYY_tgx_IHuhSq3AJ5eI5OnqOPBNLWSHKh2a30DoXe8/edit?usp=sharing"",""สงขลา!J376"")"),0)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IFERROR(__xludf.DUMMYFUNCTION("IMPORTRANGE(""https://docs.google.com/spreadsheets/d/1IYY_tgx_IHuhSq3AJ5eI5OnqOPBNLWSHKh2a30DoXe8/edit?usp=sharing"",""สงขลา!I377"")"),3251)</f>
        <v>3251</v>
      </c>
      <c r="J482" s="426">
        <f ca="1">IFERROR(__xludf.DUMMYFUNCTION("IMPORTRANGE(""https://docs.google.com/spreadsheets/d/1IYY_tgx_IHuhSq3AJ5eI5OnqOPBNLWSHKh2a30DoXe8/edit?usp=sharing"",""สงขลา!J377"")"),0)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IFERROR(__xludf.DUMMYFUNCTION("IMPORTRANGE(""https://docs.google.com/spreadsheets/d/1IYY_tgx_IHuhSq3AJ5eI5OnqOPBNLWSHKh2a30DoXe8/edit?usp=sharing"",""สงขลา!I378"")"),0)</f>
        <v>0</v>
      </c>
      <c r="J483" s="195">
        <f ca="1">IFERROR(__xludf.DUMMYFUNCTION("IMPORTRANGE(""https://docs.google.com/spreadsheets/d/1IYY_tgx_IHuhSq3AJ5eI5OnqOPBNLWSHKh2a30DoXe8/edit?usp=sharing"",""สงขลา!J378"")"),0)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IFERROR(__xludf.DUMMYFUNCTION("IMPORTRANGE(""https://docs.google.com/spreadsheets/d/1IYY_tgx_IHuhSq3AJ5eI5OnqOPBNLWSHKh2a30DoXe8/edit?usp=sharing"",""สงขลา!I379"")"),0)</f>
        <v>0</v>
      </c>
      <c r="J484" s="195">
        <f ca="1">IFERROR(__xludf.DUMMYFUNCTION("IMPORTRANGE(""https://docs.google.com/spreadsheets/d/1IYY_tgx_IHuhSq3AJ5eI5OnqOPBNLWSHKh2a30DoXe8/edit?usp=sharing"",""สงขลา!J379"")"),0)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IFERROR(__xludf.DUMMYFUNCTION("IMPORTRANGE(""https://docs.google.com/spreadsheets/d/1IYY_tgx_IHuhSq3AJ5eI5OnqOPBNLWSHKh2a30DoXe8/edit?usp=sharing"",""สงขลา!I380"")"),0)</f>
        <v>0</v>
      </c>
      <c r="J485" s="195">
        <f ca="1">IFERROR(__xludf.DUMMYFUNCTION("IMPORTRANGE(""https://docs.google.com/spreadsheets/d/1IYY_tgx_IHuhSq3AJ5eI5OnqOPBNLWSHKh2a30DoXe8/edit?usp=sharing"",""สงขลา!J380"")"),0)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IFERROR(__xludf.DUMMYFUNCTION("IMPORTRANGE(""https://docs.google.com/spreadsheets/d/1IYY_tgx_IHuhSq3AJ5eI5OnqOPBNLWSHKh2a30DoXe8/edit?usp=sharing"",""สงขลา!I381"")"),0)</f>
        <v>0</v>
      </c>
      <c r="J486" s="195">
        <f ca="1">IFERROR(__xludf.DUMMYFUNCTION("IMPORTRANGE(""https://docs.google.com/spreadsheets/d/1IYY_tgx_IHuhSq3AJ5eI5OnqOPBNLWSHKh2a30DoXe8/edit?usp=sharing"",""สงขลา!J381"")"),0)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IFERROR(__xludf.DUMMYFUNCTION("IMPORTRANGE(""https://docs.google.com/spreadsheets/d/1IYY_tgx_IHuhSq3AJ5eI5OnqOPBNLWSHKh2a30DoXe8/edit?usp=sharing"",""สงขลา!I382"")"),0)</f>
        <v>0</v>
      </c>
      <c r="J487" s="426">
        <f ca="1">IFERROR(__xludf.DUMMYFUNCTION("IMPORTRANGE(""https://docs.google.com/spreadsheets/d/1IYY_tgx_IHuhSq3AJ5eI5OnqOPBNLWSHKh2a30DoXe8/edit?usp=sharing"",""สงขลา!J382"")"),0)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IFERROR(__xludf.DUMMYFUNCTION("IMPORTRANGE(""https://docs.google.com/spreadsheets/d/1IYY_tgx_IHuhSq3AJ5eI5OnqOPBNLWSHKh2a30DoXe8/edit?usp=sharing"",""สงขลา!I383"")"),0)</f>
        <v>0</v>
      </c>
      <c r="J488" s="426">
        <f ca="1">IFERROR(__xludf.DUMMYFUNCTION("IMPORTRANGE(""https://docs.google.com/spreadsheets/d/1IYY_tgx_IHuhSq3AJ5eI5OnqOPBNLWSHKh2a30DoXe8/edit?usp=sharing"",""สงขลา!J383"")"),0)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IFERROR(__xludf.DUMMYFUNCTION("IMPORTRANGE(""https://docs.google.com/spreadsheets/d/1IYY_tgx_IHuhSq3AJ5eI5OnqOPBNLWSHKh2a30DoXe8/edit?usp=sharing"",""สงขลา!I384"")"),0)</f>
        <v>0</v>
      </c>
      <c r="J489" s="195">
        <f ca="1">IFERROR(__xludf.DUMMYFUNCTION("IMPORTRANGE(""https://docs.google.com/spreadsheets/d/1IYY_tgx_IHuhSq3AJ5eI5OnqOPBNLWSHKh2a30DoXe8/edit?usp=sharing"",""สงขลา!J384"")"),0)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IFERROR(__xludf.DUMMYFUNCTION("IMPORTRANGE(""https://docs.google.com/spreadsheets/d/1IYY_tgx_IHuhSq3AJ5eI5OnqOPBNLWSHKh2a30DoXe8/edit?usp=sharing"",""สงขลา!I385"")"),0)</f>
        <v>0</v>
      </c>
      <c r="J490" s="195">
        <f ca="1">IFERROR(__xludf.DUMMYFUNCTION("IMPORTRANGE(""https://docs.google.com/spreadsheets/d/1IYY_tgx_IHuhSq3AJ5eI5OnqOPBNLWSHKh2a30DoXe8/edit?usp=sharing"",""สงขลา!J385"")"),0)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IFERROR(__xludf.DUMMYFUNCTION("IMPORTRANGE(""https://docs.google.com/spreadsheets/d/1IYY_tgx_IHuhSq3AJ5eI5OnqOPBNLWSHKh2a30DoXe8/edit?usp=sharing"",""สงขลา!I386"")"),0)</f>
        <v>0</v>
      </c>
      <c r="J491" s="195">
        <f ca="1">IFERROR(__xludf.DUMMYFUNCTION("IMPORTRANGE(""https://docs.google.com/spreadsheets/d/1IYY_tgx_IHuhSq3AJ5eI5OnqOPBNLWSHKh2a30DoXe8/edit?usp=sharing"",""สงขลา!J386"")"),0)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IFERROR(__xludf.DUMMYFUNCTION("IMPORTRANGE(""https://docs.google.com/spreadsheets/d/1IYY_tgx_IHuhSq3AJ5eI5OnqOPBNLWSHKh2a30DoXe8/edit?usp=sharing"",""สงขลา!I387"")"),0)</f>
        <v>0</v>
      </c>
      <c r="J492" s="195">
        <f ca="1">IFERROR(__xludf.DUMMYFUNCTION("IMPORTRANGE(""https://docs.google.com/spreadsheets/d/1IYY_tgx_IHuhSq3AJ5eI5OnqOPBNLWSHKh2a30DoXe8/edit?usp=sharing"",""สงขลา!J387"")"),0)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IFERROR(__xludf.DUMMYFUNCTION("IMPORTRANGE(""https://docs.google.com/spreadsheets/d/1IYY_tgx_IHuhSq3AJ5eI5OnqOPBNLWSHKh2a30DoXe8/edit?usp=sharing"",""สงขลา!I388"")"),0)</f>
        <v>0</v>
      </c>
      <c r="J493" s="195">
        <f ca="1">IFERROR(__xludf.DUMMYFUNCTION("IMPORTRANGE(""https://docs.google.com/spreadsheets/d/1IYY_tgx_IHuhSq3AJ5eI5OnqOPBNLWSHKh2a30DoXe8/edit?usp=sharing"",""สงขลา!J388"")"),0)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IFERROR(__xludf.DUMMYFUNCTION("IMPORTRANGE(""https://docs.google.com/spreadsheets/d/1IYY_tgx_IHuhSq3AJ5eI5OnqOPBNLWSHKh2a30DoXe8/edit?usp=sharing"",""สงขลา!I389"")"),0)</f>
        <v>0</v>
      </c>
      <c r="J494" s="442">
        <f ca="1">IFERROR(__xludf.DUMMYFUNCTION("IMPORTRANGE(""https://docs.google.com/spreadsheets/d/1IYY_tgx_IHuhSq3AJ5eI5OnqOPBNLWSHKh2a30DoXe8/edit?usp=sharing"",""สงขลา!J389"")"),0)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IFERROR(__xludf.DUMMYFUNCTION("IMPORTRANGE(""https://docs.google.com/spreadsheets/d/1IYY_tgx_IHuhSq3AJ5eI5OnqOPBNLWSHKh2a30DoXe8/edit?usp=sharing"",""สงขลา!I390"")"),0)</f>
        <v>0</v>
      </c>
      <c r="J495" s="442">
        <f ca="1">IFERROR(__xludf.DUMMYFUNCTION("IMPORTRANGE(""https://docs.google.com/spreadsheets/d/1IYY_tgx_IHuhSq3AJ5eI5OnqOPBNLWSHKh2a30DoXe8/edit?usp=sharing"",""สงขลา!J390"")"),0)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IFERROR(__xludf.DUMMYFUNCTION("IMPORTRANGE(""https://docs.google.com/spreadsheets/d/1IYY_tgx_IHuhSq3AJ5eI5OnqOPBNLWSHKh2a30DoXe8/edit?usp=sharing"",""สงขลา!I391"")"),0)</f>
        <v>0</v>
      </c>
      <c r="J496" s="442">
        <f ca="1">IFERROR(__xludf.DUMMYFUNCTION("IMPORTRANGE(""https://docs.google.com/spreadsheets/d/1IYY_tgx_IHuhSq3AJ5eI5OnqOPBNLWSHKh2a30DoXe8/edit?usp=sharing"",""สงขลา!J391"")"),0)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IFERROR(__xludf.DUMMYFUNCTION("IMPORTRANGE(""https://docs.google.com/spreadsheets/d/1IYY_tgx_IHuhSq3AJ5eI5OnqOPBNLWSHKh2a30DoXe8/edit?usp=sharing"",""สงขลา!I392"")"),292)</f>
        <v>292</v>
      </c>
      <c r="J497" s="449">
        <f ca="1">IFERROR(__xludf.DUMMYFUNCTION("IMPORTRANGE(""https://docs.google.com/spreadsheets/d/1IYY_tgx_IHuhSq3AJ5eI5OnqOPBNLWSHKh2a30DoXe8/edit?usp=sharing"",""สงขลา!J392"")"),174)</f>
        <v>174</v>
      </c>
      <c r="K497" s="450">
        <f t="shared" ca="1" si="117"/>
        <v>59.589041095890408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IFERROR(__xludf.DUMMYFUNCTION("IMPORTRANGE(""https://docs.google.com/spreadsheets/d/1IYY_tgx_IHuhSq3AJ5eI5OnqOPBNLWSHKh2a30DoXe8/edit?usp=sharing"",""สงขลา!I393"")"),292)</f>
        <v>292</v>
      </c>
      <c r="J498" s="426">
        <f ca="1">IFERROR(__xludf.DUMMYFUNCTION("IMPORTRANGE(""https://docs.google.com/spreadsheets/d/1IYY_tgx_IHuhSq3AJ5eI5OnqOPBNLWSHKh2a30DoXe8/edit?usp=sharing"",""สงขลา!J393"")"),174)</f>
        <v>174</v>
      </c>
      <c r="K498" s="208">
        <f t="shared" ca="1" si="117"/>
        <v>59.589041095890408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IFERROR(__xludf.DUMMYFUNCTION("IMPORTRANGE(""https://docs.google.com/spreadsheets/d/1IYY_tgx_IHuhSq3AJ5eI5OnqOPBNLWSHKh2a30DoXe8/edit?usp=sharing"",""สงขลา!I394"")"),26)</f>
        <v>26</v>
      </c>
      <c r="J499" s="426">
        <f ca="1">IFERROR(__xludf.DUMMYFUNCTION("IMPORTRANGE(""https://docs.google.com/spreadsheets/d/1IYY_tgx_IHuhSq3AJ5eI5OnqOPBNLWSHKh2a30DoXe8/edit?usp=sharing"",""สงขลา!J394"")"),16)</f>
        <v>16</v>
      </c>
      <c r="K499" s="208">
        <f t="shared" ca="1" si="117"/>
        <v>61.53846153846154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IFERROR(__xludf.DUMMYFUNCTION("IMPORTRANGE(""https://docs.google.com/spreadsheets/d/1IYY_tgx_IHuhSq3AJ5eI5OnqOPBNLWSHKh2a30DoXe8/edit?usp=sharing"",""สงขลา!I395"")"),0)</f>
        <v>0</v>
      </c>
      <c r="J500" s="166">
        <f ca="1">IFERROR(__xludf.DUMMYFUNCTION("IMPORTRANGE(""https://docs.google.com/spreadsheets/d/1IYY_tgx_IHuhSq3AJ5eI5OnqOPBNLWSHKh2a30DoXe8/edit?usp=sharing"",""สงขลา!J395"")"),156)</f>
        <v>156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IFERROR(__xludf.DUMMYFUNCTION("IMPORTRANGE(""https://docs.google.com/spreadsheets/d/1IYY_tgx_IHuhSq3AJ5eI5OnqOPBNLWSHKh2a30DoXe8/edit?usp=sharing"",""สงขลา!I396"")"),0)</f>
        <v>0</v>
      </c>
      <c r="J501" s="166">
        <f ca="1">IFERROR(__xludf.DUMMYFUNCTION("IMPORTRANGE(""https://docs.google.com/spreadsheets/d/1IYY_tgx_IHuhSq3AJ5eI5OnqOPBNLWSHKh2a30DoXe8/edit?usp=sharing"",""สงขลา!J396"")"),13)</f>
        <v>13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IFERROR(__xludf.DUMMYFUNCTION("IMPORTRANGE(""https://docs.google.com/spreadsheets/d/1IYY_tgx_IHuhSq3AJ5eI5OnqOPBNLWSHKh2a30DoXe8/edit?usp=sharing"",""สงขลา!I397"")"),0)</f>
        <v>0</v>
      </c>
      <c r="J502" s="195">
        <f ca="1">IFERROR(__xludf.DUMMYFUNCTION("IMPORTRANGE(""https://docs.google.com/spreadsheets/d/1IYY_tgx_IHuhSq3AJ5eI5OnqOPBNLWSHKh2a30DoXe8/edit?usp=sharing"",""สงขลา!J397"")"),156)</f>
        <v>156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IFERROR(__xludf.DUMMYFUNCTION("IMPORTRANGE(""https://docs.google.com/spreadsheets/d/1IYY_tgx_IHuhSq3AJ5eI5OnqOPBNLWSHKh2a30DoXe8/edit?usp=sharing"",""สงขลา!I398"")"),0)</f>
        <v>0</v>
      </c>
      <c r="J503" s="204">
        <f ca="1">IFERROR(__xludf.DUMMYFUNCTION("IMPORTRANGE(""https://docs.google.com/spreadsheets/d/1IYY_tgx_IHuhSq3AJ5eI5OnqOPBNLWSHKh2a30DoXe8/edit?usp=sharing"",""สงขลา!J398"")"),13)</f>
        <v>13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IFERROR(__xludf.DUMMYFUNCTION("IMPORTRANGE(""https://docs.google.com/spreadsheets/d/1IYY_tgx_IHuhSq3AJ5eI5OnqOPBNLWSHKh2a30DoXe8/edit?usp=sharing"",""สงขลา!I399"")"),0)</f>
        <v>0</v>
      </c>
      <c r="J504" s="195">
        <f ca="1">IFERROR(__xludf.DUMMYFUNCTION("IMPORTRANGE(""https://docs.google.com/spreadsheets/d/1IYY_tgx_IHuhSq3AJ5eI5OnqOPBNLWSHKh2a30DoXe8/edit?usp=sharing"",""สงขลา!J399"")"),0)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IFERROR(__xludf.DUMMYFUNCTION("IMPORTRANGE(""https://docs.google.com/spreadsheets/d/1IYY_tgx_IHuhSq3AJ5eI5OnqOPBNLWSHKh2a30DoXe8/edit?usp=sharing"",""สงขลา!I400"")"),0)</f>
        <v>0</v>
      </c>
      <c r="J505" s="204">
        <f ca="1">IFERROR(__xludf.DUMMYFUNCTION("IMPORTRANGE(""https://docs.google.com/spreadsheets/d/1IYY_tgx_IHuhSq3AJ5eI5OnqOPBNLWSHKh2a30DoXe8/edit?usp=sharing"",""สงขลา!J400"")"),0)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IFERROR(__xludf.DUMMYFUNCTION("IMPORTRANGE(""https://docs.google.com/spreadsheets/d/1IYY_tgx_IHuhSq3AJ5eI5OnqOPBNLWSHKh2a30DoXe8/edit?usp=sharing"",""สงขลา!I401"")"),0)</f>
        <v>0</v>
      </c>
      <c r="J506" s="195">
        <f ca="1">IFERROR(__xludf.DUMMYFUNCTION("IMPORTRANGE(""https://docs.google.com/spreadsheets/d/1IYY_tgx_IHuhSq3AJ5eI5OnqOPBNLWSHKh2a30DoXe8/edit?usp=sharing"",""สงขลา!J401"")"),0)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IFERROR(__xludf.DUMMYFUNCTION("IMPORTRANGE(""https://docs.google.com/spreadsheets/d/1IYY_tgx_IHuhSq3AJ5eI5OnqOPBNLWSHKh2a30DoXe8/edit?usp=sharing"",""สงขลา!I402"")"),0)</f>
        <v>0</v>
      </c>
      <c r="J507" s="204">
        <f ca="1">IFERROR(__xludf.DUMMYFUNCTION("IMPORTRANGE(""https://docs.google.com/spreadsheets/d/1IYY_tgx_IHuhSq3AJ5eI5OnqOPBNLWSHKh2a30DoXe8/edit?usp=sharing"",""สงขลา!J402"")"),0)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IFERROR(__xludf.DUMMYFUNCTION("IMPORTRANGE(""https://docs.google.com/spreadsheets/d/1IYY_tgx_IHuhSq3AJ5eI5OnqOPBNLWSHKh2a30DoXe8/edit?usp=sharing"",""สงขลา!I403"")"),0)</f>
        <v>0</v>
      </c>
      <c r="J508" s="166">
        <f ca="1">IFERROR(__xludf.DUMMYFUNCTION("IMPORTRANGE(""https://docs.google.com/spreadsheets/d/1IYY_tgx_IHuhSq3AJ5eI5OnqOPBNLWSHKh2a30DoXe8/edit?usp=sharing"",""สงขลา!J403"")"),18)</f>
        <v>18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IFERROR(__xludf.DUMMYFUNCTION("IMPORTRANGE(""https://docs.google.com/spreadsheets/d/1IYY_tgx_IHuhSq3AJ5eI5OnqOPBNLWSHKh2a30DoXe8/edit?usp=sharing"",""สงขลา!I404"")"),0)</f>
        <v>0</v>
      </c>
      <c r="J509" s="166">
        <f ca="1">IFERROR(__xludf.DUMMYFUNCTION("IMPORTRANGE(""https://docs.google.com/spreadsheets/d/1IYY_tgx_IHuhSq3AJ5eI5OnqOPBNLWSHKh2a30DoXe8/edit?usp=sharing"",""สงขลา!J404"")"),3)</f>
        <v>3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IFERROR(__xludf.DUMMYFUNCTION("IMPORTRANGE(""https://docs.google.com/spreadsheets/d/1IYY_tgx_IHuhSq3AJ5eI5OnqOPBNLWSHKh2a30DoXe8/edit?usp=sharing"",""สงขลา!I405"")"),0)</f>
        <v>0</v>
      </c>
      <c r="J510" s="204">
        <f ca="1">IFERROR(__xludf.DUMMYFUNCTION("IMPORTRANGE(""https://docs.google.com/spreadsheets/d/1IYY_tgx_IHuhSq3AJ5eI5OnqOPBNLWSHKh2a30DoXe8/edit?usp=sharing"",""สงขลา!J405"")"),18)</f>
        <v>18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IFERROR(__xludf.DUMMYFUNCTION("IMPORTRANGE(""https://docs.google.com/spreadsheets/d/1IYY_tgx_IHuhSq3AJ5eI5OnqOPBNLWSHKh2a30DoXe8/edit?usp=sharing"",""สงขลา!I406"")"),0)</f>
        <v>0</v>
      </c>
      <c r="J511" s="204">
        <f ca="1">IFERROR(__xludf.DUMMYFUNCTION("IMPORTRANGE(""https://docs.google.com/spreadsheets/d/1IYY_tgx_IHuhSq3AJ5eI5OnqOPBNLWSHKh2a30DoXe8/edit?usp=sharing"",""สงขลา!J406"")"),3)</f>
        <v>3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IFERROR(__xludf.DUMMYFUNCTION("IMPORTRANGE(""https://docs.google.com/spreadsheets/d/1IYY_tgx_IHuhSq3AJ5eI5OnqOPBNLWSHKh2a30DoXe8/edit?usp=sharing"",""สงขลา!I407"")"),0)</f>
        <v>0</v>
      </c>
      <c r="J512" s="204">
        <f ca="1">IFERROR(__xludf.DUMMYFUNCTION("IMPORTRANGE(""https://docs.google.com/spreadsheets/d/1IYY_tgx_IHuhSq3AJ5eI5OnqOPBNLWSHKh2a30DoXe8/edit?usp=sharing"",""สงขลา!J407"")"),0)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IFERROR(__xludf.DUMMYFUNCTION("IMPORTRANGE(""https://docs.google.com/spreadsheets/d/1IYY_tgx_IHuhSq3AJ5eI5OnqOPBNLWSHKh2a30DoXe8/edit?usp=sharing"",""สงขลา!I408"")"),0)</f>
        <v>0</v>
      </c>
      <c r="J513" s="204">
        <f ca="1">IFERROR(__xludf.DUMMYFUNCTION("IMPORTRANGE(""https://docs.google.com/spreadsheets/d/1IYY_tgx_IHuhSq3AJ5eI5OnqOPBNLWSHKh2a30DoXe8/edit?usp=sharing"",""สงขลา!J408"")"),0)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IFERROR(__xludf.DUMMYFUNCTION("IMPORTRANGE(""https://docs.google.com/spreadsheets/d/1IYY_tgx_IHuhSq3AJ5eI5OnqOPBNLWSHKh2a30DoXe8/edit?usp=sharing"",""สงขลา!I409"")"),0)</f>
        <v>0</v>
      </c>
      <c r="J514" s="204">
        <f ca="1">IFERROR(__xludf.DUMMYFUNCTION("IMPORTRANGE(""https://docs.google.com/spreadsheets/d/1IYY_tgx_IHuhSq3AJ5eI5OnqOPBNLWSHKh2a30DoXe8/edit?usp=sharing"",""สงขลา!J409"")"),0)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IFERROR(__xludf.DUMMYFUNCTION("IMPORTRANGE(""https://docs.google.com/spreadsheets/d/1IYY_tgx_IHuhSq3AJ5eI5OnqOPBNLWSHKh2a30DoXe8/edit?usp=sharing"",""สงขลา!I410"")"),0)</f>
        <v>0</v>
      </c>
      <c r="J515" s="204">
        <f ca="1">IFERROR(__xludf.DUMMYFUNCTION("IMPORTRANGE(""https://docs.google.com/spreadsheets/d/1IYY_tgx_IHuhSq3AJ5eI5OnqOPBNLWSHKh2a30DoXe8/edit?usp=sharing"",""สงขลา!J410"")"),0)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IFERROR(__xludf.DUMMYFUNCTION("IMPORTRANGE(""https://docs.google.com/spreadsheets/d/1IYY_tgx_IHuhSq3AJ5eI5OnqOPBNLWSHKh2a30DoXe8/edit?usp=sharing"",""สงขลา!I411"")"),0)</f>
        <v>0</v>
      </c>
      <c r="J516" s="273">
        <f ca="1">IFERROR(__xludf.DUMMYFUNCTION("IMPORTRANGE(""https://docs.google.com/spreadsheets/d/1IYY_tgx_IHuhSq3AJ5eI5OnqOPBNLWSHKh2a30DoXe8/edit?usp=sharing"",""สงขลา!J411"")"),0)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IFERROR(__xludf.DUMMYFUNCTION("IMPORTRANGE(""https://docs.google.com/spreadsheets/d/1IYY_tgx_IHuhSq3AJ5eI5OnqOPBNLWSHKh2a30DoXe8/edit?usp=sharing"",""สงขลา!I412"")"),0)</f>
        <v>0</v>
      </c>
      <c r="J517" s="290">
        <f ca="1">IFERROR(__xludf.DUMMYFUNCTION("IMPORTRANGE(""https://docs.google.com/spreadsheets/d/1IYY_tgx_IHuhSq3AJ5eI5OnqOPBNLWSHKh2a30DoXe8/edit?usp=sharing"",""สงขลา!J412"")"),0)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IFERROR(__xludf.DUMMYFUNCTION("IMPORTRANGE(""https://docs.google.com/spreadsheets/d/1IYY_tgx_IHuhSq3AJ5eI5OnqOPBNLWSHKh2a30DoXe8/edit?usp=sharing"",""สงขลา!I413"")"),0)</f>
        <v>0</v>
      </c>
      <c r="J518" s="290">
        <f ca="1">IFERROR(__xludf.DUMMYFUNCTION("IMPORTRANGE(""https://docs.google.com/spreadsheets/d/1IYY_tgx_IHuhSq3AJ5eI5OnqOPBNLWSHKh2a30DoXe8/edit?usp=sharing"",""สงขลา!J413"")"),0)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IFERROR(__xludf.DUMMYFUNCTION("IMPORTRANGE(""https://docs.google.com/spreadsheets/d/1IYY_tgx_IHuhSq3AJ5eI5OnqOPBNLWSHKh2a30DoXe8/edit?usp=sharing"",""สงขลา!I414"")"),0)</f>
        <v>0</v>
      </c>
      <c r="J519" s="194">
        <f ca="1">IFERROR(__xludf.DUMMYFUNCTION("IMPORTRANGE(""https://docs.google.com/spreadsheets/d/1IYY_tgx_IHuhSq3AJ5eI5OnqOPBNLWSHKh2a30DoXe8/edit?usp=sharing"",""สงขลา!J414"")"),0)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IFERROR(__xludf.DUMMYFUNCTION("IMPORTRANGE(""https://docs.google.com/spreadsheets/d/1IYY_tgx_IHuhSq3AJ5eI5OnqOPBNLWSHKh2a30DoXe8/edit?usp=sharing"",""สงขลา!I415"")"),0)</f>
        <v>0</v>
      </c>
      <c r="J520" s="194">
        <f ca="1">IFERROR(__xludf.DUMMYFUNCTION("IMPORTRANGE(""https://docs.google.com/spreadsheets/d/1IYY_tgx_IHuhSq3AJ5eI5OnqOPBNLWSHKh2a30DoXe8/edit?usp=sharing"",""สงขลา!J415"")"),0)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IFERROR(__xludf.DUMMYFUNCTION("IMPORTRANGE(""https://docs.google.com/spreadsheets/d/1IYY_tgx_IHuhSq3AJ5eI5OnqOPBNLWSHKh2a30DoXe8/edit?usp=sharing"",""สงขลา!I416"")"),0)</f>
        <v>0</v>
      </c>
      <c r="J521" s="194">
        <f ca="1">IFERROR(__xludf.DUMMYFUNCTION("IMPORTRANGE(""https://docs.google.com/spreadsheets/d/1IYY_tgx_IHuhSq3AJ5eI5OnqOPBNLWSHKh2a30DoXe8/edit?usp=sharing"",""สงขลา!J416"")"),0)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IFERROR(__xludf.DUMMYFUNCTION("IMPORTRANGE(""https://docs.google.com/spreadsheets/d/1IYY_tgx_IHuhSq3AJ5eI5OnqOPBNLWSHKh2a30DoXe8/edit?usp=sharing"",""สงขลา!I417"")"),0)</f>
        <v>0</v>
      </c>
      <c r="J522" s="194">
        <f ca="1">IFERROR(__xludf.DUMMYFUNCTION("IMPORTRANGE(""https://docs.google.com/spreadsheets/d/1IYY_tgx_IHuhSq3AJ5eI5OnqOPBNLWSHKh2a30DoXe8/edit?usp=sharing"",""สงขลา!J417"")"),0)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IFERROR(__xludf.DUMMYFUNCTION("IMPORTRANGE(""https://docs.google.com/spreadsheets/d/1IYY_tgx_IHuhSq3AJ5eI5OnqOPBNLWSHKh2a30DoXe8/edit?usp=sharing"",""สงขลา!I418"")"),0)</f>
        <v>0</v>
      </c>
      <c r="J523" s="194">
        <f ca="1">IFERROR(__xludf.DUMMYFUNCTION("IMPORTRANGE(""https://docs.google.com/spreadsheets/d/1IYY_tgx_IHuhSq3AJ5eI5OnqOPBNLWSHKh2a30DoXe8/edit?usp=sharing"",""สงขลา!J418"")"),0)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IFERROR(__xludf.DUMMYFUNCTION("IMPORTRANGE(""https://docs.google.com/spreadsheets/d/1IYY_tgx_IHuhSq3AJ5eI5OnqOPBNLWSHKh2a30DoXe8/edit?usp=sharing"",""สงขลา!I419"")"),0)</f>
        <v>0</v>
      </c>
      <c r="J524" s="194">
        <f ca="1">IFERROR(__xludf.DUMMYFUNCTION("IMPORTRANGE(""https://docs.google.com/spreadsheets/d/1IYY_tgx_IHuhSq3AJ5eI5OnqOPBNLWSHKh2a30DoXe8/edit?usp=sharing"",""สงขลา!J419"")"),0)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IFERROR(__xludf.DUMMYFUNCTION("IMPORTRANGE(""https://docs.google.com/spreadsheets/d/1IYY_tgx_IHuhSq3AJ5eI5OnqOPBNLWSHKh2a30DoXe8/edit?usp=sharing"",""สงขลา!I420"")"),0)</f>
        <v>0</v>
      </c>
      <c r="J525" s="290">
        <f ca="1">IFERROR(__xludf.DUMMYFUNCTION("IMPORTRANGE(""https://docs.google.com/spreadsheets/d/1IYY_tgx_IHuhSq3AJ5eI5OnqOPBNLWSHKh2a30DoXe8/edit?usp=sharing"",""สงขลา!J420"")"),0)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IFERROR(__xludf.DUMMYFUNCTION("IMPORTRANGE(""https://docs.google.com/spreadsheets/d/1IYY_tgx_IHuhSq3AJ5eI5OnqOPBNLWSHKh2a30DoXe8/edit?usp=sharing"",""สงขลา!I421"")"),0)</f>
        <v>0</v>
      </c>
      <c r="J526" s="290">
        <f ca="1">IFERROR(__xludf.DUMMYFUNCTION("IMPORTRANGE(""https://docs.google.com/spreadsheets/d/1IYY_tgx_IHuhSq3AJ5eI5OnqOPBNLWSHKh2a30DoXe8/edit?usp=sharing"",""สงขลา!J421"")"),0)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IFERROR(__xludf.DUMMYFUNCTION("IMPORTRANGE(""https://docs.google.com/spreadsheets/d/1IYY_tgx_IHuhSq3AJ5eI5OnqOPBNLWSHKh2a30DoXe8/edit?usp=sharing"",""สงขลา!I422"")"),0)</f>
        <v>0</v>
      </c>
      <c r="J527" s="204">
        <f ca="1">IFERROR(__xludf.DUMMYFUNCTION("IMPORTRANGE(""https://docs.google.com/spreadsheets/d/1IYY_tgx_IHuhSq3AJ5eI5OnqOPBNLWSHKh2a30DoXe8/edit?usp=sharing"",""สงขลา!J422"")"),0)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IFERROR(__xludf.DUMMYFUNCTION("IMPORTRANGE(""https://docs.google.com/spreadsheets/d/1IYY_tgx_IHuhSq3AJ5eI5OnqOPBNLWSHKh2a30DoXe8/edit?usp=sharing"",""สงขลา!I423"")"),0)</f>
        <v>0</v>
      </c>
      <c r="J528" s="204">
        <f ca="1">IFERROR(__xludf.DUMMYFUNCTION("IMPORTRANGE(""https://docs.google.com/spreadsheets/d/1IYY_tgx_IHuhSq3AJ5eI5OnqOPBNLWSHKh2a30DoXe8/edit?usp=sharing"",""สงขลา!J423"")"),0)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IFERROR(__xludf.DUMMYFUNCTION("IMPORTRANGE(""https://docs.google.com/spreadsheets/d/1IYY_tgx_IHuhSq3AJ5eI5OnqOPBNLWSHKh2a30DoXe8/edit?usp=sharing"",""สงขลา!I424"")"),0)</f>
        <v>0</v>
      </c>
      <c r="J529" s="204">
        <f ca="1">IFERROR(__xludf.DUMMYFUNCTION("IMPORTRANGE(""https://docs.google.com/spreadsheets/d/1IYY_tgx_IHuhSq3AJ5eI5OnqOPBNLWSHKh2a30DoXe8/edit?usp=sharing"",""สงขลา!J424"")"),0)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IFERROR(__xludf.DUMMYFUNCTION("IMPORTRANGE(""https://docs.google.com/spreadsheets/d/1IYY_tgx_IHuhSq3AJ5eI5OnqOPBNLWSHKh2a30DoXe8/edit?usp=sharing"",""สงขลา!I425"")"),0)</f>
        <v>0</v>
      </c>
      <c r="J530" s="204">
        <f ca="1">IFERROR(__xludf.DUMMYFUNCTION("IMPORTRANGE(""https://docs.google.com/spreadsheets/d/1IYY_tgx_IHuhSq3AJ5eI5OnqOPBNLWSHKh2a30DoXe8/edit?usp=sharing"",""สงขลา!J425"")"),0)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IFERROR(__xludf.DUMMYFUNCTION("IMPORTRANGE(""https://docs.google.com/spreadsheets/d/1IYY_tgx_IHuhSq3AJ5eI5OnqOPBNLWSHKh2a30DoXe8/edit?usp=sharing"",""สงขลา!I426"")"),0)</f>
        <v>0</v>
      </c>
      <c r="J531" s="204">
        <f ca="1">IFERROR(__xludf.DUMMYFUNCTION("IMPORTRANGE(""https://docs.google.com/spreadsheets/d/1IYY_tgx_IHuhSq3AJ5eI5OnqOPBNLWSHKh2a30DoXe8/edit?usp=sharing"",""สงขลา!J426"")"),0)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IFERROR(__xludf.DUMMYFUNCTION("IMPORTRANGE(""https://docs.google.com/spreadsheets/d/1IYY_tgx_IHuhSq3AJ5eI5OnqOPBNLWSHKh2a30DoXe8/edit?usp=sharing"",""สงขลา!I427"")"),0)</f>
        <v>0</v>
      </c>
      <c r="J532" s="472">
        <f ca="1">IFERROR(__xludf.DUMMYFUNCTION("IMPORTRANGE(""https://docs.google.com/spreadsheets/d/1IYY_tgx_IHuhSq3AJ5eI5OnqOPBNLWSHKh2a30DoXe8/edit?usp=sharing"",""สงขลา!J427"")"),0)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IFERROR(__xludf.DUMMYFUNCTION("IMPORTRANGE(""https://docs.google.com/spreadsheets/d/1IYY_tgx_IHuhSq3AJ5eI5OnqOPBNLWSHKh2a30DoXe8/edit?usp=sharing"",""สงขลา!I428"")"),20)</f>
        <v>20</v>
      </c>
      <c r="J533" s="416">
        <f ca="1">IFERROR(__xludf.DUMMYFUNCTION("IMPORTRANGE(""https://docs.google.com/spreadsheets/d/1IYY_tgx_IHuhSq3AJ5eI5OnqOPBNLWSHKh2a30DoXe8/edit?usp=sharing"",""สงขลา!J428"")"),20)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IFERROR(__xludf.DUMMYFUNCTION("IMPORTRANGE(""https://docs.google.com/spreadsheets/d/1IYY_tgx_IHuhSq3AJ5eI5OnqOPBNLWSHKh2a30DoXe8/edit?usp=sharing"",""สงขลา!L428"")"),32640)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IFERROR(__xludf.DUMMYFUNCTION("IMPORTRANGE(""https://docs.google.com/spreadsheets/d/1IYY_tgx_IHuhSq3AJ5eI5OnqOPBNLWSHKh2a30DoXe8/edit?usp=sharing"",""สงขลา!M428"")"),27090)</f>
        <v>27090</v>
      </c>
      <c r="O533" s="418">
        <f t="shared" ref="O533:O537" ca="1" si="118">+IF(L533&gt;0,N533*100/L533,0)</f>
        <v>82.996323529411768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IFERROR(__xludf.DUMMYFUNCTION("IMPORTRANGE(""https://docs.google.com/spreadsheets/d/1IYY_tgx_IHuhSq3AJ5eI5OnqOPBNLWSHKh2a30DoXe8/edit?usp=sharing"",""สงขลา!L429"")"),0)</f>
        <v>0</v>
      </c>
      <c r="M534" s="168"/>
      <c r="N534" s="175">
        <f ca="1">IFERROR(__xludf.DUMMYFUNCTION("IMPORTRANGE(""https://docs.google.com/spreadsheets/d/1IYY_tgx_IHuhSq3AJ5eI5OnqOPBNLWSHKh2a30DoXe8/edit?usp=sharing"",""สงขลา!M429"")"),0)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IFERROR(__xludf.DUMMYFUNCTION("IMPORTRANGE(""https://docs.google.com/spreadsheets/d/1IYY_tgx_IHuhSq3AJ5eI5OnqOPBNLWSHKh2a30DoXe8/edit?usp=sharing"",""สงขลา!L430"")"),32640)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IFERROR(__xludf.DUMMYFUNCTION("IMPORTRANGE(""https://docs.google.com/spreadsheets/d/1IYY_tgx_IHuhSq3AJ5eI5OnqOPBNLWSHKh2a30DoXe8/edit?usp=sharing"",""สงขลา!M430"")"),27090)</f>
        <v>27090</v>
      </c>
      <c r="O535" s="175">
        <f t="shared" ca="1" si="118"/>
        <v>82.996323529411768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IFERROR(__xludf.DUMMYFUNCTION("IMPORTRANGE(""https://docs.google.com/spreadsheets/d/1IYY_tgx_IHuhSq3AJ5eI5OnqOPBNLWSHKh2a30DoXe8/edit?usp=sharing"",""สงขลา!L431"")"),0)</f>
        <v>0</v>
      </c>
      <c r="M536" s="175"/>
      <c r="N536" s="175">
        <f ca="1">IFERROR(__xludf.DUMMYFUNCTION("IMPORTRANGE(""https://docs.google.com/spreadsheets/d/1IYY_tgx_IHuhSq3AJ5eI5OnqOPBNLWSHKh2a30DoXe8/edit?usp=sharing"",""สงขลา!M431"")"),0)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IFERROR(__xludf.DUMMYFUNCTION("IMPORTRANGE(""https://docs.google.com/spreadsheets/d/1IYY_tgx_IHuhSq3AJ5eI5OnqOPBNLWSHKh2a30DoXe8/edit?usp=sharing"",""สงขลา!L432"")"),32640)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IFERROR(__xludf.DUMMYFUNCTION("IMPORTRANGE(""https://docs.google.com/spreadsheets/d/1IYY_tgx_IHuhSq3AJ5eI5OnqOPBNLWSHKh2a30DoXe8/edit?usp=sharing"",""สงขลา!M432"")"),27090)</f>
        <v>27090</v>
      </c>
      <c r="O537" s="175">
        <f t="shared" ca="1" si="118"/>
        <v>82.996323529411768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IFERROR(__xludf.DUMMYFUNCTION("IMPORTRANGE(""https://docs.google.com/spreadsheets/d/1IYY_tgx_IHuhSq3AJ5eI5OnqOPBNLWSHKh2a30DoXe8/edit?usp=sharing"",""สงขลา!M433"")"),15665)</f>
        <v>15665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IFERROR(__xludf.DUMMYFUNCTION("IMPORTRANGE(""https://docs.google.com/spreadsheets/d/1IYY_tgx_IHuhSq3AJ5eI5OnqOPBNLWSHKh2a30DoXe8/edit?usp=sharing"",""สงขลา!M434"")"),0)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IFERROR(__xludf.DUMMYFUNCTION("IMPORTRANGE(""https://docs.google.com/spreadsheets/d/1IYY_tgx_IHuhSq3AJ5eI5OnqOPBNLWSHKh2a30DoXe8/edit?usp=sharing"",""สงขลา!M435"")"),0)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IFERROR(__xludf.DUMMYFUNCTION("IMPORTRANGE(""https://docs.google.com/spreadsheets/d/1IYY_tgx_IHuhSq3AJ5eI5OnqOPBNLWSHKh2a30DoXe8/edit?usp=sharing"",""สงขลา!M436"")"),11425)</f>
        <v>11425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IFERROR(__xludf.DUMMYFUNCTION("IMPORTRANGE(""https://docs.google.com/spreadsheets/d/1IYY_tgx_IHuhSq3AJ5eI5OnqOPBNLWSHKh2a30DoXe8/edit?usp=sharing"",""สงขลา!J438"")"),0)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IFERROR(__xludf.DUMMYFUNCTION("IMPORTRANGE(""https://docs.google.com/spreadsheets/d/1IYY_tgx_IHuhSq3AJ5eI5OnqOPBNLWSHKh2a30DoXe8/edit?usp=sharing"",""สงขลา!J439"")"),1)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IFERROR(__xludf.DUMMYFUNCTION("IMPORTRANGE(""https://docs.google.com/spreadsheets/d/1IYY_tgx_IHuhSq3AJ5eI5OnqOPBNLWSHKh2a30DoXe8/edit?usp=sharing"",""สงขลา!J440"")"),1)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IFERROR(__xludf.DUMMYFUNCTION("IMPORTRANGE(""https://docs.google.com/spreadsheets/d/1IYY_tgx_IHuhSq3AJ5eI5OnqOPBNLWSHKh2a30DoXe8/edit?usp=sharing"",""สงขลา!J441"")"),1)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IFERROR(__xludf.DUMMYFUNCTION("IMPORTRANGE(""https://docs.google.com/spreadsheets/d/1IYY_tgx_IHuhSq3AJ5eI5OnqOPBNLWSHKh2a30DoXe8/edit?usp=sharing"",""สงขลา!I442"")"),20)</f>
        <v>20</v>
      </c>
      <c r="J547" s="195">
        <f ca="1">IFERROR(__xludf.DUMMYFUNCTION("IMPORTRANGE(""https://docs.google.com/spreadsheets/d/1IYY_tgx_IHuhSq3AJ5eI5OnqOPBNLWSHKh2a30DoXe8/edit?usp=sharing"",""สงขลา!J442"")"),20)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IFERROR(__xludf.DUMMYFUNCTION("IMPORTRANGE(""https://docs.google.com/spreadsheets/d/1IYY_tgx_IHuhSq3AJ5eI5OnqOPBNLWSHKh2a30DoXe8/edit?usp=sharing"",""สงขลา!J166"")"),0)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IFERROR(__xludf.DUMMYFUNCTION("IMPORTRANGE(""https://docs.google.com/spreadsheets/d/1IYY_tgx_IHuhSq3AJ5eI5OnqOPBNLWSHKh2a30DoXe8/edit?usp=sharing"",""สงขลา!J444"")"),0)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IFERROR(__xludf.DUMMYFUNCTION("IMPORTRANGE(""https://docs.google.com/spreadsheets/d/1IYY_tgx_IHuhSq3AJ5eI5OnqOPBNLWSHKh2a30DoXe8/edit?usp=sharing"",""สงขลา!J445"")"),0)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IFERROR(__xludf.DUMMYFUNCTION("IMPORTRANGE(""https://docs.google.com/spreadsheets/d/1IYY_tgx_IHuhSq3AJ5eI5OnqOPBNLWSHKh2a30DoXe8/edit?usp=sharing"",""สงขลา!I446"")"),0)</f>
        <v>0</v>
      </c>
      <c r="J551" s="416">
        <f ca="1">IFERROR(__xludf.DUMMYFUNCTION("IMPORTRANGE(""https://docs.google.com/spreadsheets/d/1IYY_tgx_IHuhSq3AJ5eI5OnqOPBNLWSHKh2a30DoXe8/edit?usp=sharing"",""สงขลา!J446"")"),0)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IFERROR(__xludf.DUMMYFUNCTION("IMPORTRANGE(""https://docs.google.com/spreadsheets/d/1IYY_tgx_IHuhSq3AJ5eI5OnqOPBNLWSHKh2a30DoXe8/edit?usp=sharing"",""สงขลา!L446"")"),0)</f>
        <v>0</v>
      </c>
      <c r="M551" s="418"/>
      <c r="N551" s="418">
        <f ca="1">IFERROR(__xludf.DUMMYFUNCTION("IMPORTRANGE(""https://docs.google.com/spreadsheets/d/1IYY_tgx_IHuhSq3AJ5eI5OnqOPBNLWSHKh2a30DoXe8/edit?usp=sharing"",""สงขลา!M446"")"),0)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IFERROR(__xludf.DUMMYFUNCTION("IMPORTRANGE(""https://docs.google.com/spreadsheets/d/1IYY_tgx_IHuhSq3AJ5eI5OnqOPBNLWSHKh2a30DoXe8/edit?usp=sharing"",""สงขลา!L447"")"),0)</f>
        <v>0</v>
      </c>
      <c r="M552" s="168"/>
      <c r="N552" s="175">
        <f ca="1">IFERROR(__xludf.DUMMYFUNCTION("IMPORTRANGE(""https://docs.google.com/spreadsheets/d/1IYY_tgx_IHuhSq3AJ5eI5OnqOPBNLWSHKh2a30DoXe8/edit?usp=sharing"",""สงขลา!M447"")"),0)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IFERROR(__xludf.DUMMYFUNCTION("IMPORTRANGE(""https://docs.google.com/spreadsheets/d/1IYY_tgx_IHuhSq3AJ5eI5OnqOPBNLWSHKh2a30DoXe8/edit?usp=sharing"",""สงขลา!L448"")"),0)</f>
        <v>0</v>
      </c>
      <c r="M553" s="169"/>
      <c r="N553" s="175">
        <f ca="1">IFERROR(__xludf.DUMMYFUNCTION("IMPORTRANGE(""https://docs.google.com/spreadsheets/d/1IYY_tgx_IHuhSq3AJ5eI5OnqOPBNLWSHKh2a30DoXe8/edit?usp=sharing"",""สงขลา!M448"")"),0)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IFERROR(__xludf.DUMMYFUNCTION("IMPORTRANGE(""https://docs.google.com/spreadsheets/d/1IYY_tgx_IHuhSq3AJ5eI5OnqOPBNLWSHKh2a30DoXe8/edit?usp=sharing"",""สงขลา!L449"")"),0)</f>
        <v>0</v>
      </c>
      <c r="M554" s="175"/>
      <c r="N554" s="175">
        <f ca="1">IFERROR(__xludf.DUMMYFUNCTION("IMPORTRANGE(""https://docs.google.com/spreadsheets/d/1IYY_tgx_IHuhSq3AJ5eI5OnqOPBNLWSHKh2a30DoXe8/edit?usp=sharing"",""สงขลา!M449"")"),0)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IFERROR(__xludf.DUMMYFUNCTION("IMPORTRANGE(""https://docs.google.com/spreadsheets/d/1IYY_tgx_IHuhSq3AJ5eI5OnqOPBNLWSHKh2a30DoXe8/edit?usp=sharing"",""สงขลา!L450"")"),0)</f>
        <v>0</v>
      </c>
      <c r="M555" s="175"/>
      <c r="N555" s="175">
        <f ca="1">IFERROR(__xludf.DUMMYFUNCTION("IMPORTRANGE(""https://docs.google.com/spreadsheets/d/1IYY_tgx_IHuhSq3AJ5eI5OnqOPBNLWSHKh2a30DoXe8/edit?usp=sharing"",""สงขลา!M450"")"),0)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IFERROR(__xludf.DUMMYFUNCTION("IMPORTRANGE(""https://docs.google.com/spreadsheets/d/1IYY_tgx_IHuhSq3AJ5eI5OnqOPBNLWSHKh2a30DoXe8/edit?usp=sharing"",""สงขลา!M451"")"),0)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IFERROR(__xludf.DUMMYFUNCTION("IMPORTRANGE(""https://docs.google.com/spreadsheets/d/1IYY_tgx_IHuhSq3AJ5eI5OnqOPBNLWSHKh2a30DoXe8/edit?usp=sharing"",""สงขลา!M452"")"),0)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IFERROR(__xludf.DUMMYFUNCTION("IMPORTRANGE(""https://docs.google.com/spreadsheets/d/1IYY_tgx_IHuhSq3AJ5eI5OnqOPBNLWSHKh2a30DoXe8/edit?usp=sharing"",""สงขลา!M453"")"),0)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IFERROR(__xludf.DUMMYFUNCTION("IMPORTRANGE(""https://docs.google.com/spreadsheets/d/1IYY_tgx_IHuhSq3AJ5eI5OnqOPBNLWSHKh2a30DoXe8/edit?usp=sharing"",""สงขลา!M454"")"),0)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IFERROR(__xludf.DUMMYFUNCTION("IMPORTRANGE(""https://docs.google.com/spreadsheets/d/1IYY_tgx_IHuhSq3AJ5eI5OnqOPBNLWSHKh2a30DoXe8/edit?usp=sharing"",""สงขลา!I455"")"),0)</f>
        <v>0</v>
      </c>
      <c r="J560" s="166">
        <f ca="1">IFERROR(__xludf.DUMMYFUNCTION("IMPORTRANGE(""https://docs.google.com/spreadsheets/d/1IYY_tgx_IHuhSq3AJ5eI5OnqOPBNLWSHKh2a30DoXe8/edit?usp=sharing"",""สงขลา!J455"")"),0)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IFERROR(__xludf.DUMMYFUNCTION("IMPORTRANGE(""https://docs.google.com/spreadsheets/d/1IYY_tgx_IHuhSq3AJ5eI5OnqOPBNLWSHKh2a30DoXe8/edit?usp=sharing"",""สงขลา!I456"")"),0)</f>
        <v>0</v>
      </c>
      <c r="J561" s="210">
        <f ca="1">IFERROR(__xludf.DUMMYFUNCTION("IMPORTRANGE(""https://docs.google.com/spreadsheets/d/1IYY_tgx_IHuhSq3AJ5eI5OnqOPBNLWSHKh2a30DoXe8/edit?usp=sharing"",""สงขลา!J456"")"),0)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IFERROR(__xludf.DUMMYFUNCTION("IMPORTRANGE(""https://docs.google.com/spreadsheets/d/1IYY_tgx_IHuhSq3AJ5eI5OnqOPBNLWSHKh2a30DoXe8/edit?usp=sharing"",""สงขลา!I459"")"),1100)</f>
        <v>1100</v>
      </c>
      <c r="J564" s="377">
        <f ca="1">IFERROR(__xludf.DUMMYFUNCTION("IMPORTRANGE(""https://docs.google.com/spreadsheets/d/1IYY_tgx_IHuhSq3AJ5eI5OnqOPBNLWSHKh2a30DoXe8/edit?usp=sharing"",""สงขลา!J459"")"),1122)</f>
        <v>1122</v>
      </c>
      <c r="K564" s="378">
        <f ca="1">IF(I564&gt;0,J564*100/I564,0)</f>
        <v>102</v>
      </c>
      <c r="L564" s="379">
        <f ca="1">IFERROR(__xludf.DUMMYFUNCTION("IMPORTRANGE(""https://docs.google.com/spreadsheets/d/1IYY_tgx_IHuhSq3AJ5eI5OnqOPBNLWSHKh2a30DoXe8/edit?usp=sharing"",""สงขลา!L459"")"),123600)</f>
        <v>123600</v>
      </c>
      <c r="M564" s="379"/>
      <c r="N564" s="379">
        <f ca="1">IFERROR(__xludf.DUMMYFUNCTION("IMPORTRANGE(""https://docs.google.com/spreadsheets/d/1IYY_tgx_IHuhSq3AJ5eI5OnqOPBNLWSHKh2a30DoXe8/edit?usp=sharing"",""สงขลา!M459"")"),67375)</f>
        <v>67375</v>
      </c>
      <c r="O564" s="379">
        <f t="shared" ref="O564:O568" ca="1" si="122">+IF(L564&gt;0,N564*100/L564,0)</f>
        <v>54.510517799352748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IFERROR(__xludf.DUMMYFUNCTION("IMPORTRANGE(""https://docs.google.com/spreadsheets/d/1IYY_tgx_IHuhSq3AJ5eI5OnqOPBNLWSHKh2a30DoXe8/edit?usp=sharing"",""สงขลา!L460"")"),0)</f>
        <v>0</v>
      </c>
      <c r="M565" s="168"/>
      <c r="N565" s="175">
        <f ca="1">IFERROR(__xludf.DUMMYFUNCTION("IMPORTRANGE(""https://docs.google.com/spreadsheets/d/1IYY_tgx_IHuhSq3AJ5eI5OnqOPBNLWSHKh2a30DoXe8/edit?usp=sharing"",""สงขลา!M460"")"),0)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IFERROR(__xludf.DUMMYFUNCTION("IMPORTRANGE(""https://docs.google.com/spreadsheets/d/1IYY_tgx_IHuhSq3AJ5eI5OnqOPBNLWSHKh2a30DoXe8/edit?usp=sharing"",""สงขลา!L461"")"),123600)</f>
        <v>123600</v>
      </c>
      <c r="M566" s="169"/>
      <c r="N566" s="175">
        <f ca="1">IFERROR(__xludf.DUMMYFUNCTION("IMPORTRANGE(""https://docs.google.com/spreadsheets/d/1IYY_tgx_IHuhSq3AJ5eI5OnqOPBNLWSHKh2a30DoXe8/edit?usp=sharing"",""สงขลา!M461"")"),67375)</f>
        <v>67375</v>
      </c>
      <c r="O566" s="175">
        <f t="shared" ca="1" si="122"/>
        <v>54.510517799352748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IFERROR(__xludf.DUMMYFUNCTION("IMPORTRANGE(""https://docs.google.com/spreadsheets/d/1IYY_tgx_IHuhSq3AJ5eI5OnqOPBNLWSHKh2a30DoXe8/edit?usp=sharing"",""สงขลา!L462"")"),0)</f>
        <v>0</v>
      </c>
      <c r="M567" s="175"/>
      <c r="N567" s="175">
        <f ca="1">IFERROR(__xludf.DUMMYFUNCTION("IMPORTRANGE(""https://docs.google.com/spreadsheets/d/1IYY_tgx_IHuhSq3AJ5eI5OnqOPBNLWSHKh2a30DoXe8/edit?usp=sharing"",""สงขลา!M462"")"),0)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IFERROR(__xludf.DUMMYFUNCTION("IMPORTRANGE(""https://docs.google.com/spreadsheets/d/1IYY_tgx_IHuhSq3AJ5eI5OnqOPBNLWSHKh2a30DoXe8/edit?usp=sharing"",""สงขลา!L463"")"),123600)</f>
        <v>123600</v>
      </c>
      <c r="M568" s="175"/>
      <c r="N568" s="175">
        <f ca="1">IFERROR(__xludf.DUMMYFUNCTION("IMPORTRANGE(""https://docs.google.com/spreadsheets/d/1IYY_tgx_IHuhSq3AJ5eI5OnqOPBNLWSHKh2a30DoXe8/edit?usp=sharing"",""สงขลา!M463"")"),67375)</f>
        <v>67375</v>
      </c>
      <c r="O568" s="175">
        <f t="shared" ca="1" si="122"/>
        <v>54.510517799352748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IFERROR(__xludf.DUMMYFUNCTION("IMPORTRANGE(""https://docs.google.com/spreadsheets/d/1IYY_tgx_IHuhSq3AJ5eI5OnqOPBNLWSHKh2a30DoXe8/edit?usp=sharing"",""สงขลา!M464"")"),0)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IFERROR(__xludf.DUMMYFUNCTION("IMPORTRANGE(""https://docs.google.com/spreadsheets/d/1IYY_tgx_IHuhSq3AJ5eI5OnqOPBNLWSHKh2a30DoXe8/edit?usp=sharing"",""สงขลา!M465"")"),0)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IFERROR(__xludf.DUMMYFUNCTION("IMPORTRANGE(""https://docs.google.com/spreadsheets/d/1IYY_tgx_IHuhSq3AJ5eI5OnqOPBNLWSHKh2a30DoXe8/edit?usp=sharing"",""สงขลา!M466"")"),64935)</f>
        <v>64935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IFERROR(__xludf.DUMMYFUNCTION("IMPORTRANGE(""https://docs.google.com/spreadsheets/d/1IYY_tgx_IHuhSq3AJ5eI5OnqOPBNLWSHKh2a30DoXe8/edit?usp=sharing"",""สงขลา!M467"")"),2440)</f>
        <v>2440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IFERROR(__xludf.DUMMYFUNCTION("IMPORTRANGE(""https://docs.google.com/spreadsheets/d/1IYY_tgx_IHuhSq3AJ5eI5OnqOPBNLWSHKh2a30DoXe8/edit?usp=sharing"",""สงขลา!I468"")"),1100)</f>
        <v>1100</v>
      </c>
      <c r="J573" s="426">
        <f ca="1">IFERROR(__xludf.DUMMYFUNCTION("IMPORTRANGE(""https://docs.google.com/spreadsheets/d/1IYY_tgx_IHuhSq3AJ5eI5OnqOPBNLWSHKh2a30DoXe8/edit?usp=sharing"",""สงขลา!J468"")"),1122)</f>
        <v>1122</v>
      </c>
      <c r="K573" s="208">
        <f ca="1">IF(I573&gt;0,J573*100/I573,0)</f>
        <v>102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IFERROR(__xludf.DUMMYFUNCTION("IMPORTRANGE(""https://docs.google.com/spreadsheets/d/1IYY_tgx_IHuhSq3AJ5eI5OnqOPBNLWSHKh2a30DoXe8/edit?usp=sharing"",""สงขลา!I470"")"),0)</f>
        <v>0</v>
      </c>
      <c r="J575" s="204">
        <f ca="1">IFERROR(__xludf.DUMMYFUNCTION("IMPORTRANGE(""https://docs.google.com/spreadsheets/d/1IYY_tgx_IHuhSq3AJ5eI5OnqOPBNLWSHKh2a30DoXe8/edit?usp=sharing"",""สงขลา!J470"")"),1)</f>
        <v>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IFERROR(__xludf.DUMMYFUNCTION("IMPORTRANGE(""https://docs.google.com/spreadsheets/d/1IYY_tgx_IHuhSq3AJ5eI5OnqOPBNLWSHKh2a30DoXe8/edit?usp=sharing"",""สงขลา!I471"")"),0)</f>
        <v>0</v>
      </c>
      <c r="J576" s="204">
        <f ca="1">IFERROR(__xludf.DUMMYFUNCTION("IMPORTRANGE(""https://docs.google.com/spreadsheets/d/1IYY_tgx_IHuhSq3AJ5eI5OnqOPBNLWSHKh2a30DoXe8/edit?usp=sharing"",""สงขลา!J471"")"),36)</f>
        <v>36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IFERROR(__xludf.DUMMYFUNCTION("IMPORTRANGE(""https://docs.google.com/spreadsheets/d/1IYY_tgx_IHuhSq3AJ5eI5OnqOPBNLWSHKh2a30DoXe8/edit?usp=sharing"",""สงขลา!I472"")"),0)</f>
        <v>0</v>
      </c>
      <c r="J577" s="195">
        <f ca="1">IFERROR(__xludf.DUMMYFUNCTION("IMPORTRANGE(""https://docs.google.com/spreadsheets/d/1IYY_tgx_IHuhSq3AJ5eI5OnqOPBNLWSHKh2a30DoXe8/edit?usp=sharing"",""สงขลา!J472"")"),1085)</f>
        <v>1085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IFERROR(__xludf.DUMMYFUNCTION("IMPORTRANGE(""https://docs.google.com/spreadsheets/d/1IYY_tgx_IHuhSq3AJ5eI5OnqOPBNLWSHKh2a30DoXe8/edit?usp=sharing"",""สงขลา!I473"")"),0)</f>
        <v>0</v>
      </c>
      <c r="J578" s="204">
        <f ca="1">IFERROR(__xludf.DUMMYFUNCTION("IMPORTRANGE(""https://docs.google.com/spreadsheets/d/1IYY_tgx_IHuhSq3AJ5eI5OnqOPBNLWSHKh2a30DoXe8/edit?usp=sharing"",""สงขลา!J473"")"),1)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IFERROR(__xludf.DUMMYFUNCTION("IMPORTRANGE(""https://docs.google.com/spreadsheets/d/1IYY_tgx_IHuhSq3AJ5eI5OnqOPBNLWSHKh2a30DoXe8/edit?usp=sharing"",""สงขลา!I474"")"),0)</f>
        <v>0</v>
      </c>
      <c r="J579" s="204">
        <f ca="1">IFERROR(__xludf.DUMMYFUNCTION("IMPORTRANGE(""https://docs.google.com/spreadsheets/d/1IYY_tgx_IHuhSq3AJ5eI5OnqOPBNLWSHKh2a30DoXe8/edit?usp=sharing"",""สงขลา!J474"")"),0)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IFERROR(__xludf.DUMMYFUNCTION("IMPORTRANGE(""https://docs.google.com/spreadsheets/d/1IYY_tgx_IHuhSq3AJ5eI5OnqOPBNLWSHKh2a30DoXe8/edit?usp=sharing"",""สงขลา!I475"")"),220)</f>
        <v>220</v>
      </c>
      <c r="J580" s="377">
        <f ca="1">IFERROR(__xludf.DUMMYFUNCTION("IMPORTRANGE(""https://docs.google.com/spreadsheets/d/1IYY_tgx_IHuhSq3AJ5eI5OnqOPBNLWSHKh2a30DoXe8/edit?usp=sharing"",""สงขลา!J475"")"),0)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IFERROR(__xludf.DUMMYFUNCTION("IMPORTRANGE(""https://docs.google.com/spreadsheets/d/1IYY_tgx_IHuhSq3AJ5eI5OnqOPBNLWSHKh2a30DoXe8/edit?usp=sharing"",""สงขลา!L475"")"),376620)</f>
        <v>376620</v>
      </c>
      <c r="M580" s="379"/>
      <c r="N580" s="379">
        <f ca="1">IFERROR(__xludf.DUMMYFUNCTION("IMPORTRANGE(""https://docs.google.com/spreadsheets/d/1IYY_tgx_IHuhSq3AJ5eI5OnqOPBNLWSHKh2a30DoXe8/edit?usp=sharing"",""สงขลา!M475"")"),200020)</f>
        <v>200020</v>
      </c>
      <c r="O580" s="379">
        <f t="shared" ref="O580:O584" ca="1" si="124">+IF(L580&gt;0,N580*100/L580,0)</f>
        <v>53.109234772449682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IFERROR(__xludf.DUMMYFUNCTION("IMPORTRANGE(""https://docs.google.com/spreadsheets/d/1IYY_tgx_IHuhSq3AJ5eI5OnqOPBNLWSHKh2a30DoXe8/edit?usp=sharing"",""สงขลา!L476"")"),0)</f>
        <v>0</v>
      </c>
      <c r="M581" s="168"/>
      <c r="N581" s="175">
        <f ca="1">IFERROR(__xludf.DUMMYFUNCTION("IMPORTRANGE(""https://docs.google.com/spreadsheets/d/1IYY_tgx_IHuhSq3AJ5eI5OnqOPBNLWSHKh2a30DoXe8/edit?usp=sharing"",""สงขลา!M476"")"),0)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IFERROR(__xludf.DUMMYFUNCTION("IMPORTRANGE(""https://docs.google.com/spreadsheets/d/1IYY_tgx_IHuhSq3AJ5eI5OnqOPBNLWSHKh2a30DoXe8/edit?usp=sharing"",""สงขลา!L477"")"),376620)</f>
        <v>376620</v>
      </c>
      <c r="M582" s="169"/>
      <c r="N582" s="175">
        <f ca="1">IFERROR(__xludf.DUMMYFUNCTION("IMPORTRANGE(""https://docs.google.com/spreadsheets/d/1IYY_tgx_IHuhSq3AJ5eI5OnqOPBNLWSHKh2a30DoXe8/edit?usp=sharing"",""สงขลา!M477"")"),200020)</f>
        <v>200020</v>
      </c>
      <c r="O582" s="175">
        <f t="shared" ca="1" si="124"/>
        <v>53.109234772449682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IFERROR(__xludf.DUMMYFUNCTION("IMPORTRANGE(""https://docs.google.com/spreadsheets/d/1IYY_tgx_IHuhSq3AJ5eI5OnqOPBNLWSHKh2a30DoXe8/edit?usp=sharing"",""สงขลา!L478"")"),0)</f>
        <v>0</v>
      </c>
      <c r="M583" s="175"/>
      <c r="N583" s="175">
        <f ca="1">IFERROR(__xludf.DUMMYFUNCTION("IMPORTRANGE(""https://docs.google.com/spreadsheets/d/1IYY_tgx_IHuhSq3AJ5eI5OnqOPBNLWSHKh2a30DoXe8/edit?usp=sharing"",""สงขลา!M478"")"),0)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IFERROR(__xludf.DUMMYFUNCTION("IMPORTRANGE(""https://docs.google.com/spreadsheets/d/1IYY_tgx_IHuhSq3AJ5eI5OnqOPBNLWSHKh2a30DoXe8/edit?usp=sharing"",""สงขลา!L479"")"),376620)</f>
        <v>376620</v>
      </c>
      <c r="M584" s="175"/>
      <c r="N584" s="175">
        <f ca="1">IFERROR(__xludf.DUMMYFUNCTION("IMPORTRANGE(""https://docs.google.com/spreadsheets/d/1IYY_tgx_IHuhSq3AJ5eI5OnqOPBNLWSHKh2a30DoXe8/edit?usp=sharing"",""สงขลา!M479"")"),200020)</f>
        <v>200020</v>
      </c>
      <c r="O584" s="175">
        <f t="shared" ca="1" si="124"/>
        <v>53.109234772449682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IFERROR(__xludf.DUMMYFUNCTION("IMPORTRANGE(""https://docs.google.com/spreadsheets/d/1IYY_tgx_IHuhSq3AJ5eI5OnqOPBNLWSHKh2a30DoXe8/edit?usp=sharing"",""สงขลา!M480"")"),0)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IFERROR(__xludf.DUMMYFUNCTION("IMPORTRANGE(""https://docs.google.com/spreadsheets/d/1IYY_tgx_IHuhSq3AJ5eI5OnqOPBNLWSHKh2a30DoXe8/edit?usp=sharing"",""สงขลา!M481"")"),0)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IFERROR(__xludf.DUMMYFUNCTION("IMPORTRANGE(""https://docs.google.com/spreadsheets/d/1IYY_tgx_IHuhSq3AJ5eI5OnqOPBNLWSHKh2a30DoXe8/edit?usp=sharing"",""สงขลา!M482"")"),64935)</f>
        <v>64935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IFERROR(__xludf.DUMMYFUNCTION("IMPORTRANGE(""https://docs.google.com/spreadsheets/d/1IYY_tgx_IHuhSq3AJ5eI5OnqOPBNLWSHKh2a30DoXe8/edit?usp=sharing"",""สงขลา!M483"")"),135085)</f>
        <v>135085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IFERROR(__xludf.DUMMYFUNCTION("IMPORTRANGE(""https://docs.google.com/spreadsheets/d/1IYY_tgx_IHuhSq3AJ5eI5OnqOPBNLWSHKh2a30DoXe8/edit?usp=sharing"",""สงขลา!I484"")"),220)</f>
        <v>220</v>
      </c>
      <c r="J589" s="194">
        <f ca="1">IFERROR(__xludf.DUMMYFUNCTION("IMPORTRANGE(""https://docs.google.com/spreadsheets/d/1IYY_tgx_IHuhSq3AJ5eI5OnqOPBNLWSHKh2a30DoXe8/edit?usp=sharing"",""สงขลา!J484"")"),299)</f>
        <v>299</v>
      </c>
      <c r="K589" s="167">
        <f t="shared" ref="K589:K596" ca="1" si="125">IF(I589&gt;0,J589*100/I589,0)</f>
        <v>135.90909090909091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IFERROR(__xludf.DUMMYFUNCTION("IMPORTRANGE(""https://docs.google.com/spreadsheets/d/1IYY_tgx_IHuhSq3AJ5eI5OnqOPBNLWSHKh2a30DoXe8/edit?usp=sharing"",""สงขลา!I485"")"),0)</f>
        <v>0</v>
      </c>
      <c r="J590" s="194">
        <f ca="1">IFERROR(__xludf.DUMMYFUNCTION("IMPORTRANGE(""https://docs.google.com/spreadsheets/d/1IYY_tgx_IHuhSq3AJ5eI5OnqOPBNLWSHKh2a30DoXe8/edit?usp=sharing"",""สงขลา!J485"")"),80.96)</f>
        <v>80.959999999999994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IFERROR(__xludf.DUMMYFUNCTION("IMPORTRANGE(""https://docs.google.com/spreadsheets/d/1IYY_tgx_IHuhSq3AJ5eI5OnqOPBNLWSHKh2a30DoXe8/edit?usp=sharing"",""สงขลา!I486"")"),220)</f>
        <v>220</v>
      </c>
      <c r="J591" s="194">
        <f ca="1">IFERROR(__xludf.DUMMYFUNCTION("IMPORTRANGE(""https://docs.google.com/spreadsheets/d/1IYY_tgx_IHuhSq3AJ5eI5OnqOPBNLWSHKh2a30DoXe8/edit?usp=sharing"",""สงขลา!J486"")"),83)</f>
        <v>83</v>
      </c>
      <c r="K591" s="167">
        <f t="shared" ca="1" si="125"/>
        <v>37.727272727272727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IFERROR(__xludf.DUMMYFUNCTION("IMPORTRANGE(""https://docs.google.com/spreadsheets/d/1IYY_tgx_IHuhSq3AJ5eI5OnqOPBNLWSHKh2a30DoXe8/edit?usp=sharing"",""สงขลา!I487"")"),0)</f>
        <v>0</v>
      </c>
      <c r="J592" s="194">
        <f ca="1">IFERROR(__xludf.DUMMYFUNCTION("IMPORTRANGE(""https://docs.google.com/spreadsheets/d/1IYY_tgx_IHuhSq3AJ5eI5OnqOPBNLWSHKh2a30DoXe8/edit?usp=sharing"",""สงขลา!J487"")"),25.99)</f>
        <v>25.99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IFERROR(__xludf.DUMMYFUNCTION("IMPORTRANGE(""https://docs.google.com/spreadsheets/d/1IYY_tgx_IHuhSq3AJ5eI5OnqOPBNLWSHKh2a30DoXe8/edit?usp=sharing"",""สงขลา!I488"")"),220)</f>
        <v>220</v>
      </c>
      <c r="J593" s="194">
        <f ca="1">IFERROR(__xludf.DUMMYFUNCTION("IMPORTRANGE(""https://docs.google.com/spreadsheets/d/1IYY_tgx_IHuhSq3AJ5eI5OnqOPBNLWSHKh2a30DoXe8/edit?usp=sharing"",""สงขลา!J488"")"),0)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IFERROR(__xludf.DUMMYFUNCTION("IMPORTRANGE(""https://docs.google.com/spreadsheets/d/1IYY_tgx_IHuhSq3AJ5eI5OnqOPBNLWSHKh2a30DoXe8/edit?usp=sharing"",""สงขลา!I489"")"),0)</f>
        <v>0</v>
      </c>
      <c r="J594" s="194">
        <f ca="1">IFERROR(__xludf.DUMMYFUNCTION("IMPORTRANGE(""https://docs.google.com/spreadsheets/d/1IYY_tgx_IHuhSq3AJ5eI5OnqOPBNLWSHKh2a30DoXe8/edit?usp=sharing"",""สงขลา!J489"")"),0)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IFERROR(__xludf.DUMMYFUNCTION("IMPORTRANGE(""https://docs.google.com/spreadsheets/d/1IYY_tgx_IHuhSq3AJ5eI5OnqOPBNLWSHKh2a30DoXe8/edit?usp=sharing"",""สงขลา!I490"")"),220)</f>
        <v>220</v>
      </c>
      <c r="J595" s="194">
        <f ca="1">IFERROR(__xludf.DUMMYFUNCTION("IMPORTRANGE(""https://docs.google.com/spreadsheets/d/1IYY_tgx_IHuhSq3AJ5eI5OnqOPBNLWSHKh2a30DoXe8/edit?usp=sharing"",""สงขลา!J490"")"),0)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IFERROR(__xludf.DUMMYFUNCTION("IMPORTRANGE(""https://docs.google.com/spreadsheets/d/1IYY_tgx_IHuhSq3AJ5eI5OnqOPBNLWSHKh2a30DoXe8/edit?usp=sharing"",""สงขลา!I491"")"),0)</f>
        <v>0</v>
      </c>
      <c r="J596" s="247">
        <f ca="1">IFERROR(__xludf.DUMMYFUNCTION("IMPORTRANGE(""https://docs.google.com/spreadsheets/d/1IYY_tgx_IHuhSq3AJ5eI5OnqOPBNLWSHKh2a30DoXe8/edit?usp=sharing"",""สงขลา!J491"")"),0)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IFERROR(__xludf.DUMMYFUNCTION("IMPORTRANGE(""https://docs.google.com/spreadsheets/d/1IYY_tgx_IHuhSq3AJ5eI5OnqOPBNLWSHKh2a30DoXe8/edit?usp=sharing"",""สงขลา!I492"")"),50)</f>
        <v>50</v>
      </c>
      <c r="J597" s="493">
        <f ca="1">IFERROR(__xludf.DUMMYFUNCTION("IMPORTRANGE(""https://docs.google.com/spreadsheets/d/1IYY_tgx_IHuhSq3AJ5eI5OnqOPBNLWSHKh2a30DoXe8/edit?usp=sharing"",""สงขลา!J492"")"),0)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IFERROR(__xludf.DUMMYFUNCTION("IMPORTRANGE(""https://docs.google.com/spreadsheets/d/1IYY_tgx_IHuhSq3AJ5eI5OnqOPBNLWSHKh2a30DoXe8/edit?usp=sharing"",""สงขลา!L492"")"),4550)</f>
        <v>4550</v>
      </c>
      <c r="M597" s="418"/>
      <c r="N597" s="418">
        <f ca="1">IFERROR(__xludf.DUMMYFUNCTION("IMPORTRANGE(""https://docs.google.com/spreadsheets/d/1IYY_tgx_IHuhSq3AJ5eI5OnqOPBNLWSHKh2a30DoXe8/edit?usp=sharing"",""สงขลา!M492"")"),500)</f>
        <v>500</v>
      </c>
      <c r="O597" s="418">
        <f t="shared" ref="O597:O601" ca="1" si="126">+IF(L597&gt;0,N597*100/L597,0)</f>
        <v>10.989010989010989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IFERROR(__xludf.DUMMYFUNCTION("IMPORTRANGE(""https://docs.google.com/spreadsheets/d/1IYY_tgx_IHuhSq3AJ5eI5OnqOPBNLWSHKh2a30DoXe8/edit?usp=sharing"",""สงขลา!L493"")"),0)</f>
        <v>0</v>
      </c>
      <c r="M598" s="168"/>
      <c r="N598" s="175">
        <f ca="1">IFERROR(__xludf.DUMMYFUNCTION("IMPORTRANGE(""https://docs.google.com/spreadsheets/d/1IYY_tgx_IHuhSq3AJ5eI5OnqOPBNLWSHKh2a30DoXe8/edit?usp=sharing"",""สงขลา!M493"")"),0)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IFERROR(__xludf.DUMMYFUNCTION("IMPORTRANGE(""https://docs.google.com/spreadsheets/d/1IYY_tgx_IHuhSq3AJ5eI5OnqOPBNLWSHKh2a30DoXe8/edit?usp=sharing"",""สงขลา!L494"")"),4550)</f>
        <v>4550</v>
      </c>
      <c r="M599" s="169"/>
      <c r="N599" s="175">
        <f ca="1">IFERROR(__xludf.DUMMYFUNCTION("IMPORTRANGE(""https://docs.google.com/spreadsheets/d/1IYY_tgx_IHuhSq3AJ5eI5OnqOPBNLWSHKh2a30DoXe8/edit?usp=sharing"",""สงขลา!M494"")"),500)</f>
        <v>500</v>
      </c>
      <c r="O599" s="175">
        <f t="shared" ca="1" si="126"/>
        <v>10.989010989010989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IFERROR(__xludf.DUMMYFUNCTION("IMPORTRANGE(""https://docs.google.com/spreadsheets/d/1IYY_tgx_IHuhSq3AJ5eI5OnqOPBNLWSHKh2a30DoXe8/edit?usp=sharing"",""สงขลา!L495"")"),0)</f>
        <v>0</v>
      </c>
      <c r="M600" s="175"/>
      <c r="N600" s="175">
        <f ca="1">IFERROR(__xludf.DUMMYFUNCTION("IMPORTRANGE(""https://docs.google.com/spreadsheets/d/1IYY_tgx_IHuhSq3AJ5eI5OnqOPBNLWSHKh2a30DoXe8/edit?usp=sharing"",""สงขลา!M495"")"),0)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IFERROR(__xludf.DUMMYFUNCTION("IMPORTRANGE(""https://docs.google.com/spreadsheets/d/1IYY_tgx_IHuhSq3AJ5eI5OnqOPBNLWSHKh2a30DoXe8/edit?usp=sharing"",""สงขลา!L496"")"),4550)</f>
        <v>4550</v>
      </c>
      <c r="M601" s="175"/>
      <c r="N601" s="175">
        <f ca="1">IFERROR(__xludf.DUMMYFUNCTION("IMPORTRANGE(""https://docs.google.com/spreadsheets/d/1IYY_tgx_IHuhSq3AJ5eI5OnqOPBNLWSHKh2a30DoXe8/edit?usp=sharing"",""สงขลา!M496"")"),500)</f>
        <v>500</v>
      </c>
      <c r="O601" s="175">
        <f t="shared" ca="1" si="126"/>
        <v>10.989010989010989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IFERROR(__xludf.DUMMYFUNCTION("IMPORTRANGE(""https://docs.google.com/spreadsheets/d/1IYY_tgx_IHuhSq3AJ5eI5OnqOPBNLWSHKh2a30DoXe8/edit?usp=sharing"",""สงขลา!M497"")"),0)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IFERROR(__xludf.DUMMYFUNCTION("IMPORTRANGE(""https://docs.google.com/spreadsheets/d/1IYY_tgx_IHuhSq3AJ5eI5OnqOPBNLWSHKh2a30DoXe8/edit?usp=sharing"",""สงขลา!M498"")"),0)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IFERROR(__xludf.DUMMYFUNCTION("IMPORTRANGE(""https://docs.google.com/spreadsheets/d/1IYY_tgx_IHuhSq3AJ5eI5OnqOPBNLWSHKh2a30DoXe8/edit?usp=sharing"",""สงขลา!M499"")"),0)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IFERROR(__xludf.DUMMYFUNCTION("IMPORTRANGE(""https://docs.google.com/spreadsheets/d/1IYY_tgx_IHuhSq3AJ5eI5OnqOPBNLWSHKh2a30DoXe8/edit?usp=sharing"",""สงขลา!M500"")"),500)</f>
        <v>500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IFERROR(__xludf.DUMMYFUNCTION("IMPORTRANGE(""https://docs.google.com/spreadsheets/d/1IYY_tgx_IHuhSq3AJ5eI5OnqOPBNLWSHKh2a30DoXe8/edit?usp=sharing"",""สงขลา!J502"")"),0)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IFERROR(__xludf.DUMMYFUNCTION("IMPORTRANGE(""https://docs.google.com/spreadsheets/d/1IYY_tgx_IHuhSq3AJ5eI5OnqOPBNLWSHKh2a30DoXe8/edit?usp=sharing"",""สงขลา!J503"")"),1)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IFERROR(__xludf.DUMMYFUNCTION("IMPORTRANGE(""https://docs.google.com/spreadsheets/d/1IYY_tgx_IHuhSq3AJ5eI5OnqOPBNLWSHKh2a30DoXe8/edit?usp=sharing"",""สงขลา!J166"")"),0)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IFERROR(__xludf.DUMMYFUNCTION("IMPORTRANGE(""https://docs.google.com/spreadsheets/d/1IYY_tgx_IHuhSq3AJ5eI5OnqOPBNLWSHKh2a30DoXe8/edit?usp=sharing"",""สงขลา!J166"")"),0)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IFERROR(__xludf.DUMMYFUNCTION("IMPORTRANGE(""https://docs.google.com/spreadsheets/d/1IYY_tgx_IHuhSq3AJ5eI5OnqOPBNLWSHKh2a30DoXe8/edit?usp=sharing"",""สงขลา!I506"")"),50)</f>
        <v>50</v>
      </c>
      <c r="J611" s="166">
        <f ca="1">IFERROR(__xludf.DUMMYFUNCTION("IMPORTRANGE(""https://docs.google.com/spreadsheets/d/1IYY_tgx_IHuhSq3AJ5eI5OnqOPBNLWSHKh2a30DoXe8/edit?usp=sharing"",""สงขลา!J506"")"),0)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IFERROR(__xludf.DUMMYFUNCTION("IMPORTRANGE(""https://docs.google.com/spreadsheets/d/1IYY_tgx_IHuhSq3AJ5eI5OnqOPBNLWSHKh2a30DoXe8/edit?usp=sharing"",""สงขลา!I507"")"),0)</f>
        <v>0</v>
      </c>
      <c r="J612" s="204">
        <f ca="1">IFERROR(__xludf.DUMMYFUNCTION("IMPORTRANGE(""https://docs.google.com/spreadsheets/d/1IYY_tgx_IHuhSq3AJ5eI5OnqOPBNLWSHKh2a30DoXe8/edit?usp=sharing"",""สงขลา!J507"")"),303.42)</f>
        <v>303.42</v>
      </c>
      <c r="K612" s="167">
        <f t="shared" ca="1" si="127"/>
        <v>606.84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IFERROR(__xludf.DUMMYFUNCTION("IMPORTRANGE(""https://docs.google.com/spreadsheets/d/1IYY_tgx_IHuhSq3AJ5eI5OnqOPBNLWSHKh2a30DoXe8/edit?usp=sharing"",""สงขลา!I508"")"),0)</f>
        <v>0</v>
      </c>
      <c r="J613" s="204">
        <f ca="1">IFERROR(__xludf.DUMMYFUNCTION("IMPORTRANGE(""https://docs.google.com/spreadsheets/d/1IYY_tgx_IHuhSq3AJ5eI5OnqOPBNLWSHKh2a30DoXe8/edit?usp=sharing"",""สงขลา!J508"")"),303)</f>
        <v>303</v>
      </c>
      <c r="K613" s="167">
        <f t="shared" ca="1" si="127"/>
        <v>606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IFERROR(__xludf.DUMMYFUNCTION("IMPORTRANGE(""https://docs.google.com/spreadsheets/d/1IYY_tgx_IHuhSq3AJ5eI5OnqOPBNLWSHKh2a30DoXe8/edit?usp=sharing"",""สงขลา!I509"")"),0)</f>
        <v>0</v>
      </c>
      <c r="J614" s="204">
        <f ca="1">IFERROR(__xludf.DUMMYFUNCTION("IMPORTRANGE(""https://docs.google.com/spreadsheets/d/1IYY_tgx_IHuhSq3AJ5eI5OnqOPBNLWSHKh2a30DoXe8/edit?usp=sharing"",""สงขลา!J509"")"),303)</f>
        <v>303</v>
      </c>
      <c r="K614" s="167">
        <f t="shared" ca="1" si="127"/>
        <v>606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IFERROR(__xludf.DUMMYFUNCTION("IMPORTRANGE(""https://docs.google.com/spreadsheets/d/1IYY_tgx_IHuhSq3AJ5eI5OnqOPBNLWSHKh2a30DoXe8/edit?usp=sharing"",""สงขลา!I510"")"),0)</f>
        <v>0</v>
      </c>
      <c r="J615" s="204">
        <f ca="1">IFERROR(__xludf.DUMMYFUNCTION("IMPORTRANGE(""https://docs.google.com/spreadsheets/d/1IYY_tgx_IHuhSq3AJ5eI5OnqOPBNLWSHKh2a30DoXe8/edit?usp=sharing"",""สงขลา!J510"")"),303)</f>
        <v>303</v>
      </c>
      <c r="K615" s="167">
        <f t="shared" ca="1" si="127"/>
        <v>606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IFERROR(__xludf.DUMMYFUNCTION("IMPORTRANGE(""https://docs.google.com/spreadsheets/d/1IYY_tgx_IHuhSq3AJ5eI5OnqOPBNLWSHKh2a30DoXe8/edit?usp=sharing"",""สงขลา!I511"")"),0)</f>
        <v>0</v>
      </c>
      <c r="J616" s="204">
        <f ca="1">IFERROR(__xludf.DUMMYFUNCTION("IMPORTRANGE(""https://docs.google.com/spreadsheets/d/1IYY_tgx_IHuhSq3AJ5eI5OnqOPBNLWSHKh2a30DoXe8/edit?usp=sharing"",""สงขลา!J511"")"),0)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IFERROR(__xludf.DUMMYFUNCTION("IMPORTRANGE(""https://docs.google.com/spreadsheets/d/1IYY_tgx_IHuhSq3AJ5eI5OnqOPBNLWSHKh2a30DoXe8/edit?usp=sharing"",""สงขลา!I512"")"),0)</f>
        <v>0</v>
      </c>
      <c r="J617" s="194">
        <f ca="1">IFERROR(__xludf.DUMMYFUNCTION("IMPORTRANGE(""https://docs.google.com/spreadsheets/d/1IYY_tgx_IHuhSq3AJ5eI5OnqOPBNLWSHKh2a30DoXe8/edit?usp=sharing"",""สงขลา!J512"")"),0)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IFERROR(__xludf.DUMMYFUNCTION("IMPORTRANGE(""https://docs.google.com/spreadsheets/d/1IYY_tgx_IHuhSq3AJ5eI5OnqOPBNLWSHKh2a30DoXe8/edit?usp=sharing"",""สงขลา!I513"")"),0)</f>
        <v>0</v>
      </c>
      <c r="J618" s="195">
        <f ca="1">IFERROR(__xludf.DUMMYFUNCTION("IMPORTRANGE(""https://docs.google.com/spreadsheets/d/1IYY_tgx_IHuhSq3AJ5eI5OnqOPBNLWSHKh2a30DoXe8/edit?usp=sharing"",""สงขลา!J513"")"),0)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IFERROR(__xludf.DUMMYFUNCTION("IMPORTRANGE(""https://docs.google.com/spreadsheets/d/1IYY_tgx_IHuhSq3AJ5eI5OnqOPBNLWSHKh2a30DoXe8/edit?usp=sharing"",""สงขลา!I514"")"),0)</f>
        <v>0</v>
      </c>
      <c r="J619" s="195">
        <f ca="1">IFERROR(__xludf.DUMMYFUNCTION("IMPORTRANGE(""https://docs.google.com/spreadsheets/d/1IYY_tgx_IHuhSq3AJ5eI5OnqOPBNLWSHKh2a30DoXe8/edit?usp=sharing"",""สงขลา!J514"")"),0)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IFERROR(__xludf.DUMMYFUNCTION("IMPORTRANGE(""https://docs.google.com/spreadsheets/d/1IYY_tgx_IHuhSq3AJ5eI5OnqOPBNLWSHKh2a30DoXe8/edit?usp=sharing"",""สงขลา!I515"")"),48)</f>
        <v>48</v>
      </c>
      <c r="J620" s="209">
        <f ca="1">IFERROR(__xludf.DUMMYFUNCTION("IMPORTRANGE(""https://docs.google.com/spreadsheets/d/1IYY_tgx_IHuhSq3AJ5eI5OnqOPBNLWSHKh2a30DoXe8/edit?usp=sharing"",""สงขลา!J515"")"),0)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IFERROR(__xludf.DUMMYFUNCTION("IMPORTRANGE(""https://docs.google.com/spreadsheets/d/1IYY_tgx_IHuhSq3AJ5eI5OnqOPBNLWSHKh2a30DoXe8/edit?usp=sharing"",""สงขลา!I516"")"),0)</f>
        <v>0</v>
      </c>
      <c r="J621" s="209">
        <f ca="1">IFERROR(__xludf.DUMMYFUNCTION("IMPORTRANGE(""https://docs.google.com/spreadsheets/d/1IYY_tgx_IHuhSq3AJ5eI5OnqOPBNLWSHKh2a30DoXe8/edit?usp=sharing"",""สงขลา!J516"")"),0)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IFERROR(__xludf.DUMMYFUNCTION("IMPORTRANGE(""https://docs.google.com/spreadsheets/d/1IYY_tgx_IHuhSq3AJ5eI5OnqOPBNLWSHKh2a30DoXe8/edit?usp=sharing"",""สงขลา!I517"")"),0)</f>
        <v>0</v>
      </c>
      <c r="J622" s="195">
        <f ca="1">IFERROR(__xludf.DUMMYFUNCTION("IMPORTRANGE(""https://docs.google.com/spreadsheets/d/1IYY_tgx_IHuhSq3AJ5eI5OnqOPBNLWSHKh2a30DoXe8/edit?usp=sharing"",""สงขลา!J517"")"),0)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IFERROR(__xludf.DUMMYFUNCTION("IMPORTRANGE(""https://docs.google.com/spreadsheets/d/1IYY_tgx_IHuhSq3AJ5eI5OnqOPBNLWSHKh2a30DoXe8/edit?usp=sharing"",""สงขลา!I518"")"),0)</f>
        <v>0</v>
      </c>
      <c r="J623" s="195">
        <f ca="1">IFERROR(__xludf.DUMMYFUNCTION("IMPORTRANGE(""https://docs.google.com/spreadsheets/d/1IYY_tgx_IHuhSq3AJ5eI5OnqOPBNLWSHKh2a30DoXe8/edit?usp=sharing"",""สงขลา!J518"")"),0)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IFERROR(__xludf.DUMMYFUNCTION("IMPORTRANGE(""https://docs.google.com/spreadsheets/d/1IYY_tgx_IHuhSq3AJ5eI5OnqOPBNLWSHKh2a30DoXe8/edit?usp=sharing"",""สงขลา!I519"")"),0)</f>
        <v>0</v>
      </c>
      <c r="J624" s="194">
        <f ca="1">IFERROR(__xludf.DUMMYFUNCTION("IMPORTRANGE(""https://docs.google.com/spreadsheets/d/1IYY_tgx_IHuhSq3AJ5eI5OnqOPBNLWSHKh2a30DoXe8/edit?usp=sharing"",""สงขลา!J519"")"),0)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IFERROR(__xludf.DUMMYFUNCTION("IMPORTRANGE(""https://docs.google.com/spreadsheets/d/1IYY_tgx_IHuhSq3AJ5eI5OnqOPBNLWSHKh2a30DoXe8/edit?usp=sharing"",""สงขลา!I520"")"),0)</f>
        <v>0</v>
      </c>
      <c r="J625" s="195">
        <f ca="1">IFERROR(__xludf.DUMMYFUNCTION("IMPORTRANGE(""https://docs.google.com/spreadsheets/d/1IYY_tgx_IHuhSq3AJ5eI5OnqOPBNLWSHKh2a30DoXe8/edit?usp=sharing"",""สงขลา!J520"")"),0)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IFERROR(__xludf.DUMMYFUNCTION("IMPORTRANGE(""https://docs.google.com/spreadsheets/d/1IYY_tgx_IHuhSq3AJ5eI5OnqOPBNLWSHKh2a30DoXe8/edit?usp=sharing"",""สงขลา!I521"")"),0)</f>
        <v>0</v>
      </c>
      <c r="J626" s="195">
        <f ca="1">IFERROR(__xludf.DUMMYFUNCTION("IMPORTRANGE(""https://docs.google.com/spreadsheets/d/1IYY_tgx_IHuhSq3AJ5eI5OnqOPBNLWSHKh2a30DoXe8/edit?usp=sharing"",""สงขลา!J521"")"),0)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IFERROR(__xludf.DUMMYFUNCTION("IMPORTRANGE(""https://docs.google.com/spreadsheets/d/1IYY_tgx_IHuhSq3AJ5eI5OnqOPBNLWSHKh2a30DoXe8/edit?usp=sharing"",""สงขลา!I523"")"),3465144.76)</f>
        <v>3465144.76</v>
      </c>
      <c r="J628" s="347">
        <f ca="1">IFERROR(__xludf.DUMMYFUNCTION("IMPORTRANGE(""https://docs.google.com/spreadsheets/d/1IYY_tgx_IHuhSq3AJ5eI5OnqOPBNLWSHKh2a30DoXe8/edit?usp=sharing"",""สงขลา!J523"")"),907199.95)</f>
        <v>907199.95</v>
      </c>
      <c r="K628" s="348">
        <f t="shared" ref="K628:K635" ca="1" si="129">IF(I628&gt;0,J628*100/I628,0)</f>
        <v>26.18072296639059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IFERROR(__xludf.DUMMYFUNCTION("IMPORTRANGE(""https://docs.google.com/spreadsheets/d/1IYY_tgx_IHuhSq3AJ5eI5OnqOPBNLWSHKh2a30DoXe8/edit?usp=sharing"",""สงขลา!I524"")"),276)</f>
        <v>276</v>
      </c>
      <c r="J629" s="347">
        <f ca="1">IFERROR(__xludf.DUMMYFUNCTION("IMPORTRANGE(""https://docs.google.com/spreadsheets/d/1IYY_tgx_IHuhSq3AJ5eI5OnqOPBNLWSHKh2a30DoXe8/edit?usp=sharing"",""สงขลา!J524"")"),75)</f>
        <v>75</v>
      </c>
      <c r="K629" s="348">
        <f t="shared" ca="1" si="129"/>
        <v>27.173913043478262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IFERROR(__xludf.DUMMYFUNCTION("IMPORTRANGE(""https://docs.google.com/spreadsheets/d/1IYY_tgx_IHuhSq3AJ5eI5OnqOPBNLWSHKh2a30DoXe8/edit?usp=sharing"",""สงขลา!I525"")"),927206.85)</f>
        <v>927206.85</v>
      </c>
      <c r="J630" s="347">
        <f ca="1">IFERROR(__xludf.DUMMYFUNCTION("IMPORTRANGE(""https://docs.google.com/spreadsheets/d/1IYY_tgx_IHuhSq3AJ5eI5OnqOPBNLWSHKh2a30DoXe8/edit?usp=sharing"",""สงขลา!J525"")"),167948.5)</f>
        <v>167948.5</v>
      </c>
      <c r="K630" s="348">
        <f t="shared" ca="1" si="129"/>
        <v>18.113379986353639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IFERROR(__xludf.DUMMYFUNCTION("IMPORTRANGE(""https://docs.google.com/spreadsheets/d/1IYY_tgx_IHuhSq3AJ5eI5OnqOPBNLWSHKh2a30DoXe8/edit?usp=sharing"",""สงขลา!I526"")"),42)</f>
        <v>42</v>
      </c>
      <c r="J631" s="347">
        <f ca="1">IFERROR(__xludf.DUMMYFUNCTION("IMPORTRANGE(""https://docs.google.com/spreadsheets/d/1IYY_tgx_IHuhSq3AJ5eI5OnqOPBNLWSHKh2a30DoXe8/edit?usp=sharing"",""สงขลา!J526"")"),37)</f>
        <v>37</v>
      </c>
      <c r="K631" s="348">
        <f t="shared" ca="1" si="129"/>
        <v>88.095238095238102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IFERROR(__xludf.DUMMYFUNCTION("IMPORTRANGE(""https://docs.google.com/spreadsheets/d/1IYY_tgx_IHuhSq3AJ5eI5OnqOPBNLWSHKh2a30DoXe8/edit?usp=sharing"",""สงขลา!I527"")"),0)</f>
        <v>0</v>
      </c>
      <c r="J632" s="347">
        <f ca="1">IFERROR(__xludf.DUMMYFUNCTION("IMPORTRANGE(""https://docs.google.com/spreadsheets/d/1IYY_tgx_IHuhSq3AJ5eI5OnqOPBNLWSHKh2a30DoXe8/edit?usp=sharing"",""สงขลา!J527"")"),0)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IFERROR(__xludf.DUMMYFUNCTION("IMPORTRANGE(""https://docs.google.com/spreadsheets/d/1IYY_tgx_IHuhSq3AJ5eI5OnqOPBNLWSHKh2a30DoXe8/edit?usp=sharing"",""สงขลา!I528"")"),0)</f>
        <v>0</v>
      </c>
      <c r="J633" s="347">
        <f ca="1">IFERROR(__xludf.DUMMYFUNCTION("IMPORTRANGE(""https://docs.google.com/spreadsheets/d/1IYY_tgx_IHuhSq3AJ5eI5OnqOPBNLWSHKh2a30DoXe8/edit?usp=sharing"",""สงขลา!J528"")"),0)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IFERROR(__xludf.DUMMYFUNCTION("IMPORTRANGE(""https://docs.google.com/spreadsheets/d/1IYY_tgx_IHuhSq3AJ5eI5OnqOPBNLWSHKh2a30DoXe8/edit?usp=sharing"",""สงขลา!I529"")"),1800000)</f>
        <v>1800000</v>
      </c>
      <c r="J634" s="347">
        <f ca="1">IFERROR(__xludf.DUMMYFUNCTION("IMPORTRANGE(""https://docs.google.com/spreadsheets/d/1IYY_tgx_IHuhSq3AJ5eI5OnqOPBNLWSHKh2a30DoXe8/edit?usp=sharing"",""สงขลา!J529"")"),950000)</f>
        <v>950000</v>
      </c>
      <c r="K634" s="348">
        <f t="shared" ca="1" si="129"/>
        <v>52.777777777777779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IFERROR(__xludf.DUMMYFUNCTION("IMPORTRANGE(""https://docs.google.com/spreadsheets/d/1IYY_tgx_IHuhSq3AJ5eI5OnqOPBNLWSHKh2a30DoXe8/edit?usp=sharing"",""สงขลา!I530"")"),36)</f>
        <v>36</v>
      </c>
      <c r="J635" s="517">
        <f ca="1">IFERROR(__xludf.DUMMYFUNCTION("IMPORTRANGE(""https://docs.google.com/spreadsheets/d/1IYY_tgx_IHuhSq3AJ5eI5OnqOPBNLWSHKh2a30DoXe8/edit?usp=sharing"",""สงขลา!J530"")"),19)</f>
        <v>19</v>
      </c>
      <c r="K635" s="492">
        <f t="shared" ca="1" si="129"/>
        <v>52.777777777777779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N7" sqref="N7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264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2427986.1</v>
      </c>
      <c r="M8" s="23">
        <f t="shared" ca="1" si="0"/>
        <v>1509055</v>
      </c>
      <c r="N8" s="23">
        <f t="shared" ca="1" si="0"/>
        <v>1302934.03</v>
      </c>
      <c r="O8" s="22">
        <f t="shared" ref="O8:O16" ca="1" si="1">IF(L8&gt;0,N8*100/L8,0)</f>
        <v>53.663158532909229</v>
      </c>
      <c r="P8" s="22">
        <f t="shared" ref="P8:P16" ca="1" si="2">IF(M8&gt;0,N8*100/M8,0)</f>
        <v>86.341056488994766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2427986.1</v>
      </c>
      <c r="M10" s="30">
        <f t="shared" ca="1" si="4"/>
        <v>1509055</v>
      </c>
      <c r="N10" s="30">
        <f t="shared" ca="1" si="4"/>
        <v>1302934.03</v>
      </c>
      <c r="O10" s="29">
        <f t="shared" ca="1" si="1"/>
        <v>53.663158532909229</v>
      </c>
      <c r="P10" s="29">
        <f t="shared" ca="1" si="2"/>
        <v>86.341056488994766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2258986.1</v>
      </c>
      <c r="M12" s="38">
        <f t="shared" ca="1" si="6"/>
        <v>1340055</v>
      </c>
      <c r="N12" s="38">
        <f t="shared" ca="1" si="6"/>
        <v>1133934.03</v>
      </c>
      <c r="O12" s="38">
        <f t="shared" ca="1" si="1"/>
        <v>50.196591736443175</v>
      </c>
      <c r="P12" s="38">
        <f t="shared" ca="1" si="2"/>
        <v>84.618469391181705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1344600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914386.1</v>
      </c>
      <c r="M14" s="38">
        <f t="shared" si="8"/>
        <v>0</v>
      </c>
      <c r="N14" s="38">
        <f t="shared" ca="1" si="8"/>
        <v>248156</v>
      </c>
      <c r="O14" s="41">
        <f t="shared" ca="1" si="1"/>
        <v>27.139082713527689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169000</v>
      </c>
      <c r="M16" s="38">
        <f t="shared" ca="1" si="10"/>
        <v>169000</v>
      </c>
      <c r="N16" s="38">
        <f t="shared" ca="1" si="10"/>
        <v>169000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1926810</v>
      </c>
      <c r="M18" s="23">
        <f t="shared" ca="1" si="11"/>
        <v>1509055</v>
      </c>
      <c r="N18" s="23">
        <f t="shared" ca="1" si="11"/>
        <v>1054778.03</v>
      </c>
      <c r="O18" s="22">
        <f t="shared" ref="O18:O20" ca="1" si="12">IF(L18&gt;0,N18*100/L18,0)</f>
        <v>54.742192016856876</v>
      </c>
      <c r="P18" s="22">
        <f t="shared" ref="P18:P26" ca="1" si="13">IF(M18&gt;0,N18*100/M18,0)</f>
        <v>69.896592900855168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1926810</v>
      </c>
      <c r="M20" s="30">
        <f t="shared" ca="1" si="15"/>
        <v>1509055</v>
      </c>
      <c r="N20" s="30">
        <f t="shared" ca="1" si="15"/>
        <v>1054778.03</v>
      </c>
      <c r="O20" s="29">
        <f t="shared" ca="1" si="12"/>
        <v>54.742192016856876</v>
      </c>
      <c r="P20" s="29">
        <f t="shared" ca="1" si="13"/>
        <v>69.896592900855168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1757810</v>
      </c>
      <c r="M22" s="42">
        <f t="shared" ca="1" si="18"/>
        <v>1340055</v>
      </c>
      <c r="N22" s="41">
        <f t="shared" ca="1" si="18"/>
        <v>885778.03</v>
      </c>
      <c r="O22" s="41">
        <f t="shared" ca="1" si="17"/>
        <v>50.390999596088314</v>
      </c>
      <c r="P22" s="41">
        <f t="shared" ca="1" si="13"/>
        <v>66.100124994869617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1344600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413210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169000</v>
      </c>
      <c r="M26" s="50">
        <f t="shared" ca="1" si="22"/>
        <v>169000</v>
      </c>
      <c r="N26" s="50">
        <f t="shared" ca="1" si="22"/>
        <v>169000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501176.1</v>
      </c>
      <c r="M28" s="23">
        <f t="shared" si="23"/>
        <v>0</v>
      </c>
      <c r="N28" s="23">
        <f t="shared" ca="1" si="23"/>
        <v>248156</v>
      </c>
      <c r="O28" s="22">
        <f t="shared" ref="O28:O30" ca="1" si="24">IF(L28&gt;0,N28*100/L28,0)</f>
        <v>49.514731448686405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501176.1</v>
      </c>
      <c r="M30" s="30">
        <f t="shared" si="27"/>
        <v>0</v>
      </c>
      <c r="N30" s="30">
        <f t="shared" ca="1" si="27"/>
        <v>248156</v>
      </c>
      <c r="O30" s="29">
        <f t="shared" ca="1" si="24"/>
        <v>49.514731448686405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501176.1</v>
      </c>
      <c r="M32" s="41">
        <f t="shared" si="30"/>
        <v>0</v>
      </c>
      <c r="N32" s="41">
        <f t="shared" ca="1" si="30"/>
        <v>248156</v>
      </c>
      <c r="O32" s="41">
        <f t="shared" ca="1" si="29"/>
        <v>49.514731448686405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501176.1</v>
      </c>
      <c r="M34" s="41">
        <f t="shared" si="32"/>
        <v>0</v>
      </c>
      <c r="N34" s="41">
        <f t="shared" ca="1" si="32"/>
        <v>248156</v>
      </c>
      <c r="O34" s="41">
        <f t="shared" ca="1" si="29"/>
        <v>49.514731448686405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1926810</v>
      </c>
      <c r="M37" s="55">
        <f t="shared" ca="1" si="33"/>
        <v>1509055</v>
      </c>
      <c r="N37" s="55">
        <f t="shared" ca="1" si="33"/>
        <v>1054778.0299999998</v>
      </c>
      <c r="O37" s="56">
        <f t="shared" ca="1" si="29"/>
        <v>54.742192016856869</v>
      </c>
      <c r="P37" s="56">
        <f t="shared" ca="1" si="25"/>
        <v>69.896592900855154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306800</v>
      </c>
      <c r="M41" s="79">
        <f t="shared" ca="1" si="34"/>
        <v>230100</v>
      </c>
      <c r="N41" s="79">
        <f t="shared" ca="1" si="34"/>
        <v>147733.35999999999</v>
      </c>
      <c r="O41" s="78">
        <f t="shared" ref="O41:O43" ca="1" si="35">IF(L41&gt;0,N41*100/L41,0)</f>
        <v>48.152985658409378</v>
      </c>
      <c r="P41" s="78">
        <f t="shared" ref="P41:P43" ca="1" si="36">IF(M41&gt;0,N41*100/M41,0)</f>
        <v>64.203980877879175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306800</v>
      </c>
      <c r="M43" s="79">
        <f t="shared" ca="1" si="38"/>
        <v>230100</v>
      </c>
      <c r="N43" s="79">
        <f t="shared" ca="1" si="38"/>
        <v>147733.35999999999</v>
      </c>
      <c r="O43" s="78">
        <f t="shared" ca="1" si="35"/>
        <v>48.152985658409378</v>
      </c>
      <c r="P43" s="78">
        <f t="shared" ca="1" si="36"/>
        <v>64.203980877879175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306800</v>
      </c>
      <c r="M45" s="91">
        <f ca="1">IFERROR(__xludf.DUMMYFUNCTION("IMPORTRANGE(""https://docs.google.com/spreadsheets/d/1Yj_ptqi66GCucihVvJfMjLAmec39IyEx_6qawtMGysU/edit?usp=sharing"",""สบก!Q93"")"),230100)</f>
        <v>230100</v>
      </c>
      <c r="N45" s="91">
        <f ca="1">IFERROR(__xludf.DUMMYFUNCTION("IMPORTRANGE(""https://docs.google.com/spreadsheets/d/1Yj_ptqi66GCucihVvJfMjLAmec39IyEx_6qawtMGysU/edit?usp=sharing"",""สบก!R93"")"),147733.36)</f>
        <v>147733.35999999999</v>
      </c>
      <c r="O45" s="92">
        <f ca="1">IF(L45&gt;0,N45*100/L45,0)</f>
        <v>48.152985658409378</v>
      </c>
      <c r="P45" s="92">
        <f ca="1">IF(M45&gt;0,N45*100/M45,0)</f>
        <v>64.203980877879175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IFERROR(__xludf.DUMMYFUNCTION("IMPORTRANGE(""https://docs.google.com/spreadsheets/d/1Yj_ptqi66GCucihVvJfMjLAmec39IyEx_6qawtMGysU/edit?usp=sharing"",""สบก!M93"")"),306800)</f>
        <v>306800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IFERROR(__xludf.DUMMYFUNCTION("IMPORTRANGE(""https://docs.google.com/spreadsheets/d/1Yj_ptqi66GCucihVvJfMjLAmec39IyEx_6qawtMGysU/edit?usp=sharing"",""สบก!O93"")"),0)</f>
        <v>0</v>
      </c>
      <c r="M49" s="101"/>
      <c r="N49" s="91">
        <f ca="1">IFERROR(__xludf.DUMMYFUNCTION("IMPORTRANGE(""https://docs.google.com/spreadsheets/d/1Yj_ptqi66GCucihVvJfMjLAmec39IyEx_6qawtMGysU/edit?usp=sharing"",""สบก!S93"")"),0)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375000</v>
      </c>
      <c r="M53" s="125">
        <f t="shared" ca="1" si="39"/>
        <v>288370</v>
      </c>
      <c r="N53" s="125">
        <f t="shared" ca="1" si="39"/>
        <v>165262</v>
      </c>
      <c r="O53" s="124">
        <f t="shared" ref="O53:O55" ca="1" si="40">IF(L53&gt;0,N53*100/L53,0)</f>
        <v>44.06986666666667</v>
      </c>
      <c r="P53" s="124">
        <f t="shared" ref="P53:P55" ca="1" si="41">IF(M53&gt;0,N53*100/M53,0)</f>
        <v>57.309012726705276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375000</v>
      </c>
      <c r="M55" s="125">
        <f t="shared" ca="1" si="43"/>
        <v>288370</v>
      </c>
      <c r="N55" s="125">
        <f t="shared" ca="1" si="43"/>
        <v>165262</v>
      </c>
      <c r="O55" s="124">
        <f t="shared" ca="1" si="40"/>
        <v>44.06986666666667</v>
      </c>
      <c r="P55" s="124">
        <f t="shared" ca="1" si="41"/>
        <v>57.309012726705276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375000</v>
      </c>
      <c r="M57" s="91">
        <f ca="1">IFERROR(__xludf.DUMMYFUNCTION("IMPORTRANGE(""https://docs.google.com/spreadsheets/d/1Yj_ptqi66GCucihVvJfMjLAmec39IyEx_6qawtMGysU/edit?usp=sharing"",""สบก!Z93"")"),288370)</f>
        <v>288370</v>
      </c>
      <c r="N57" s="91">
        <f ca="1">IFERROR(__xludf.DUMMYFUNCTION("IMPORTRANGE(""https://docs.google.com/spreadsheets/d/1Yj_ptqi66GCucihVvJfMjLAmec39IyEx_6qawtMGysU/edit?usp=sharing"",""สบก!AA93"")"),165262)</f>
        <v>165262</v>
      </c>
      <c r="O57" s="92">
        <f ca="1">IF(L57&gt;0,N57*100/L57,0)</f>
        <v>44.06986666666667</v>
      </c>
      <c r="P57" s="92">
        <f ca="1">IF(M57&gt;0,N57*100/M57,0)</f>
        <v>57.309012726705276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IFERROR(__xludf.DUMMYFUNCTION("IMPORTRANGE(""https://docs.google.com/spreadsheets/d/1Yj_ptqi66GCucihVvJfMjLAmec39IyEx_6qawtMGysU/edit?usp=sharing"",""สบก!V93"")"),375000)</f>
        <v>375000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IFERROR(__xludf.DUMMYFUNCTION("IMPORTRANGE(""https://docs.google.com/spreadsheets/d/1Yj_ptqi66GCucihVvJfMjLAmec39IyEx_6qawtMGysU/edit?usp=sharing"",""สบก!X93"")"),0)</f>
        <v>0</v>
      </c>
      <c r="M61" s="101"/>
      <c r="N61" s="91">
        <f ca="1">IFERROR(__xludf.DUMMYFUNCTION("IMPORTRANGE(""https://docs.google.com/spreadsheets/d/1Yj_ptqi66GCucihVvJfMjLAmec39IyEx_6qawtMGysU/edit?usp=sharing"",""สบก!AB93"")"),0)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IFERROR(__xludf.DUMMYFUNCTION("IMPORTRANGE(""https://docs.google.com/spreadsheets/d/1IYY_tgx_IHuhSq3AJ5eI5OnqOPBNLWSHKh2a30DoXe8/edit?usp=sharing"",""สตูล!I9"")"),0)</f>
        <v>0</v>
      </c>
      <c r="J64" s="146">
        <f ca="1">IFERROR(__xludf.DUMMYFUNCTION("IMPORTRANGE(""https://docs.google.com/spreadsheets/d/1IYY_tgx_IHuhSq3AJ5eI5OnqOPBNLWSHKh2a30DoXe8/edit?usp=sharing"",""สตูล!J9"")"),0)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IFERROR(__xludf.DUMMYFUNCTION("IMPORTRANGE(""https://docs.google.com/spreadsheets/d/1IYY_tgx_IHuhSq3AJ5eI5OnqOPBNLWSHKh2a30DoXe8/edit?usp=sharing"",""สตูล!I10"")"),0)</f>
        <v>0</v>
      </c>
      <c r="J65" s="146">
        <f ca="1">IFERROR(__xludf.DUMMYFUNCTION("IMPORTRANGE(""https://docs.google.com/spreadsheets/d/1IYY_tgx_IHuhSq3AJ5eI5OnqOPBNLWSHKh2a30DoXe8/edit?usp=sharing"",""สตูล!J10"")"),0)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IFERROR(__xludf.DUMMYFUNCTION("IMPORTRANGE(""https://docs.google.com/spreadsheets/d/1Yj_ptqi66GCucihVvJfMjLAmec39IyEx_6qawtMGysU/edit?usp=sharing"",""สบก!AI93"")"),0)</f>
        <v>0</v>
      </c>
      <c r="N70" s="174">
        <f ca="1">IFERROR(__xludf.DUMMYFUNCTION("IMPORTRANGE(""https://docs.google.com/spreadsheets/d/1Yj_ptqi66GCucihVvJfMjLAmec39IyEx_6qawtMGysU/edit?usp=sharing"",""สบก!AJ93"")"),0)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IFERROR(__xludf.DUMMYFUNCTION("IMPORTRANGE(""https://docs.google.com/spreadsheets/d/1Yj_ptqi66GCucihVvJfMjLAmec39IyEx_6qawtMGysU/edit?usp=sharing"",""สบก!AE93"")"),0)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IFERROR(__xludf.DUMMYFUNCTION("IMPORTRANGE(""https://docs.google.com/spreadsheets/d/1Yj_ptqi66GCucihVvJfMjLAmec39IyEx_6qawtMGysU/edit?usp=sharing"",""สบก!AF93"")"),0)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IFERROR(__xludf.DUMMYFUNCTION("IMPORTRANGE(""https://docs.google.com/spreadsheets/d/1Yj_ptqi66GCucihVvJfMjLAmec39IyEx_6qawtMGysU/edit?usp=sharing"",""สบก!AG93"")"),0)</f>
        <v>0</v>
      </c>
      <c r="M74" s="101"/>
      <c r="N74" s="91">
        <f ca="1">IFERROR(__xludf.DUMMYFUNCTION("IMPORTRANGE(""https://docs.google.com/spreadsheets/d/1Yj_ptqi66GCucihVvJfMjLAmec39IyEx_6qawtMGysU/edit?usp=sharing"",""สบก!AK93"")"),0)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IFERROR(__xludf.DUMMYFUNCTION("IMPORTRANGE(""https://docs.google.com/spreadsheets/d/1IYY_tgx_IHuhSq3AJ5eI5OnqOPBNLWSHKh2a30DoXe8/edit?usp=sharing"",""สตูล!J16"")"),0)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IFERROR(__xludf.DUMMYFUNCTION("IMPORTRANGE(""https://docs.google.com/spreadsheets/d/1IYY_tgx_IHuhSq3AJ5eI5OnqOPBNLWSHKh2a30DoXe8/edit?usp=sharing"",""สตูล!J17"")"),0)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IFERROR(__xludf.DUMMYFUNCTION("IMPORTRANGE(""https://docs.google.com/spreadsheets/d/1IYY_tgx_IHuhSq3AJ5eI5OnqOPBNLWSHKh2a30DoXe8/edit?usp=sharing"",""สตูล!J18"")"),0)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IFERROR(__xludf.DUMMYFUNCTION("IMPORTRANGE(""https://docs.google.com/spreadsheets/d/1IYY_tgx_IHuhSq3AJ5eI5OnqOPBNLWSHKh2a30DoXe8/edit?usp=sharing"",""สตูล!J19"")"),0)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IFERROR(__xludf.DUMMYFUNCTION("IMPORTRANGE(""https://docs.google.com/spreadsheets/d/1IYY_tgx_IHuhSq3AJ5eI5OnqOPBNLWSHKh2a30DoXe8/edit?usp=sharing"",""สตูล!I20"")"),0)</f>
        <v>0</v>
      </c>
      <c r="J80" s="207">
        <f ca="1">IFERROR(__xludf.DUMMYFUNCTION("IMPORTRANGE(""https://docs.google.com/spreadsheets/d/1IYY_tgx_IHuhSq3AJ5eI5OnqOPBNLWSHKh2a30DoXe8/edit?usp=sharing"",""สตูล!J20"")"),0)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IFERROR(__xludf.DUMMYFUNCTION("IMPORTRANGE(""https://docs.google.com/spreadsheets/d/1IYY_tgx_IHuhSq3AJ5eI5OnqOPBNLWSHKh2a30DoXe8/edit?usp=sharing"",""สตูล!I21"")"),0)</f>
        <v>0</v>
      </c>
      <c r="J81" s="207">
        <f ca="1">IFERROR(__xludf.DUMMYFUNCTION("IMPORTRANGE(""https://docs.google.com/spreadsheets/d/1IYY_tgx_IHuhSq3AJ5eI5OnqOPBNLWSHKh2a30DoXe8/edit?usp=sharing"",""สตูล!J21"")"),0)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IFERROR(__xludf.DUMMYFUNCTION("IMPORTRANGE(""https://docs.google.com/spreadsheets/d/1IYY_tgx_IHuhSq3AJ5eI5OnqOPBNLWSHKh2a30DoXe8/edit?usp=sharing"",""สตูล!I22"")"),0)</f>
        <v>0</v>
      </c>
      <c r="J82" s="210">
        <f ca="1">IFERROR(__xludf.DUMMYFUNCTION("IMPORTRANGE(""https://docs.google.com/spreadsheets/d/1IYY_tgx_IHuhSq3AJ5eI5OnqOPBNLWSHKh2a30DoXe8/edit?usp=sharing"",""สตูล!J22"")"),0)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IFERROR(__xludf.DUMMYFUNCTION("IMPORTRANGE(""https://docs.google.com/spreadsheets/d/1IYY_tgx_IHuhSq3AJ5eI5OnqOPBNLWSHKh2a30DoXe8/edit?usp=sharing"",""สตูล!I23"")"),0)</f>
        <v>0</v>
      </c>
      <c r="J83" s="210">
        <f ca="1">IFERROR(__xludf.DUMMYFUNCTION("IMPORTRANGE(""https://docs.google.com/spreadsheets/d/1IYY_tgx_IHuhSq3AJ5eI5OnqOPBNLWSHKh2a30DoXe8/edit?usp=sharing"",""สตูล!J23"")"),0)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IFERROR(__xludf.DUMMYFUNCTION("IMPORTRANGE(""https://docs.google.com/spreadsheets/d/1IYY_tgx_IHuhSq3AJ5eI5OnqOPBNLWSHKh2a30DoXe8/edit?usp=sharing"",""สตูล!I24"")"),0)</f>
        <v>0</v>
      </c>
      <c r="J84" s="195">
        <f ca="1">IFERROR(__xludf.DUMMYFUNCTION("IMPORTRANGE(""https://docs.google.com/spreadsheets/d/1IYY_tgx_IHuhSq3AJ5eI5OnqOPBNLWSHKh2a30DoXe8/edit?usp=sharing"",""สตูล!J24"")"),0)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IFERROR(__xludf.DUMMYFUNCTION("IMPORTRANGE(""https://docs.google.com/spreadsheets/d/1IYY_tgx_IHuhSq3AJ5eI5OnqOPBNLWSHKh2a30DoXe8/edit?usp=sharing"",""สตูล!I25"")"),0)</f>
        <v>0</v>
      </c>
      <c r="J85" s="195">
        <f ca="1">IFERROR(__xludf.DUMMYFUNCTION("IMPORTRANGE(""https://docs.google.com/spreadsheets/d/1IYY_tgx_IHuhSq3AJ5eI5OnqOPBNLWSHKh2a30DoXe8/edit?usp=sharing"",""สตูล!J25"")"),0)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IFERROR(__xludf.DUMMYFUNCTION("IMPORTRANGE(""https://docs.google.com/spreadsheets/d/1IYY_tgx_IHuhSq3AJ5eI5OnqOPBNLWSHKh2a30DoXe8/edit?usp=sharing"",""สตูล!I26"")"),0)</f>
        <v>0</v>
      </c>
      <c r="J86" s="210">
        <f ca="1">IFERROR(__xludf.DUMMYFUNCTION("IMPORTRANGE(""https://docs.google.com/spreadsheets/d/1IYY_tgx_IHuhSq3AJ5eI5OnqOPBNLWSHKh2a30DoXe8/edit?usp=sharing"",""สตูล!J26"")"),0)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IFERROR(__xludf.DUMMYFUNCTION("IMPORTRANGE(""https://docs.google.com/spreadsheets/d/1IYY_tgx_IHuhSq3AJ5eI5OnqOPBNLWSHKh2a30DoXe8/edit?usp=sharing"",""สตูล!I27"")"),0)</f>
        <v>0</v>
      </c>
      <c r="J87" s="210">
        <f ca="1">IFERROR(__xludf.DUMMYFUNCTION("IMPORTRANGE(""https://docs.google.com/spreadsheets/d/1IYY_tgx_IHuhSq3AJ5eI5OnqOPBNLWSHKh2a30DoXe8/edit?usp=sharing"",""สตูล!J27"")"),0)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IFERROR(__xludf.DUMMYFUNCTION("IMPORTRANGE(""https://docs.google.com/spreadsheets/d/1IYY_tgx_IHuhSq3AJ5eI5OnqOPBNLWSHKh2a30DoXe8/edit?usp=sharing"",""สตูล!I28"")"),0)</f>
        <v>0</v>
      </c>
      <c r="J88" s="210">
        <f ca="1">IFERROR(__xludf.DUMMYFUNCTION("IMPORTRANGE(""https://docs.google.com/spreadsheets/d/1IYY_tgx_IHuhSq3AJ5eI5OnqOPBNLWSHKh2a30DoXe8/edit?usp=sharing"",""สตูล!J28"")"),0)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IFERROR(__xludf.DUMMYFUNCTION("IMPORTRANGE(""https://docs.google.com/spreadsheets/d/1IYY_tgx_IHuhSq3AJ5eI5OnqOPBNLWSHKh2a30DoXe8/edit?usp=sharing"",""สตูล!J29"")"),0)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IFERROR(__xludf.DUMMYFUNCTION("IMPORTRANGE(""https://docs.google.com/spreadsheets/d/1IYY_tgx_IHuhSq3AJ5eI5OnqOPBNLWSHKh2a30DoXe8/edit?usp=sharing"",""สตูล!J30"")"),0)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IFERROR(__xludf.DUMMYFUNCTION("IMPORTRANGE(""https://docs.google.com/spreadsheets/d/1IYY_tgx_IHuhSq3AJ5eI5OnqOPBNLWSHKh2a30DoXe8/edit?usp=sharing"",""สตูล!I32"")"),0)</f>
        <v>0</v>
      </c>
      <c r="J92" s="146">
        <f ca="1">IFERROR(__xludf.DUMMYFUNCTION("IMPORTRANGE(""https://docs.google.com/spreadsheets/d/1IYY_tgx_IHuhSq3AJ5eI5OnqOPBNLWSHKh2a30DoXe8/edit?usp=sharing"",""สตูล!J32"")"),0)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IFERROR(__xludf.DUMMYFUNCTION("IMPORTRANGE(""https://docs.google.com/spreadsheets/d/1IYY_tgx_IHuhSq3AJ5eI5OnqOPBNLWSHKh2a30DoXe8/edit?usp=sharing"",""สตูล!I33"")"),0)</f>
        <v>0</v>
      </c>
      <c r="J93" s="146">
        <f ca="1">IFERROR(__xludf.DUMMYFUNCTION("IMPORTRANGE(""https://docs.google.com/spreadsheets/d/1IYY_tgx_IHuhSq3AJ5eI5OnqOPBNLWSHKh2a30DoXe8/edit?usp=sharing"",""สตูล!J33"")"),0)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IFERROR(__xludf.DUMMYFUNCTION("IMPORTRANGE(""https://docs.google.com/spreadsheets/d/1Yj_ptqi66GCucihVvJfMjLAmec39IyEx_6qawtMGysU/edit?usp=sharing"",""สบก!AR93"")"),0)</f>
        <v>0</v>
      </c>
      <c r="N98" s="174">
        <f ca="1">IFERROR(__xludf.DUMMYFUNCTION("IMPORTRANGE(""https://docs.google.com/spreadsheets/d/1Yj_ptqi66GCucihVvJfMjLAmec39IyEx_6qawtMGysU/edit?usp=sharing"",""สบก!AS93"")"),0)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IFERROR(__xludf.DUMMYFUNCTION("IMPORTRANGE(""https://docs.google.com/spreadsheets/d/1Yj_ptqi66GCucihVvJfMjLAmec39IyEx_6qawtMGysU/edit?usp=sharing"",""สบก!AN93"")"),0)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IFERROR(__xludf.DUMMYFUNCTION("IMPORTRANGE(""https://docs.google.com/spreadsheets/d/1Yj_ptqi66GCucihVvJfMjLAmec39IyEx_6qawtMGysU/edit?usp=sharing"",""สบก!AO93"")"),0)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IFERROR(__xludf.DUMMYFUNCTION("IMPORTRANGE(""https://docs.google.com/spreadsheets/d/1Yj_ptqi66GCucihVvJfMjLAmec39IyEx_6qawtMGysU/edit?usp=sharing"",""สบก!AP93"")"),0)</f>
        <v>0</v>
      </c>
      <c r="M102" s="101"/>
      <c r="N102" s="91">
        <f ca="1">IFERROR(__xludf.DUMMYFUNCTION("IMPORTRANGE(""https://docs.google.com/spreadsheets/d/1Yj_ptqi66GCucihVvJfMjLAmec39IyEx_6qawtMGysU/edit?usp=sharing"",""สบก!AT93"")"),0)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IFERROR(__xludf.DUMMYFUNCTION("IMPORTRANGE(""https://docs.google.com/spreadsheets/d/1IYY_tgx_IHuhSq3AJ5eI5OnqOPBNLWSHKh2a30DoXe8/edit?usp=sharing"",""สตูล!J39"")"),0)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IFERROR(__xludf.DUMMYFUNCTION("IMPORTRANGE(""https://docs.google.com/spreadsheets/d/1IYY_tgx_IHuhSq3AJ5eI5OnqOPBNLWSHKh2a30DoXe8/edit?usp=sharing"",""สตูล!J40"")"),0)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IFERROR(__xludf.DUMMYFUNCTION("IMPORTRANGE(""https://docs.google.com/spreadsheets/d/1IYY_tgx_IHuhSq3AJ5eI5OnqOPBNLWSHKh2a30DoXe8/edit?usp=sharing"",""สตูล!J41"")"),0)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IFERROR(__xludf.DUMMYFUNCTION("IMPORTRANGE(""https://docs.google.com/spreadsheets/d/1IYY_tgx_IHuhSq3AJ5eI5OnqOPBNLWSHKh2a30DoXe8/edit?usp=sharing"",""สตูล!J42"")"),0)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IFERROR(__xludf.DUMMYFUNCTION("IMPORTRANGE(""https://docs.google.com/spreadsheets/d/1IYY_tgx_IHuhSq3AJ5eI5OnqOPBNLWSHKh2a30DoXe8/edit?usp=sharing"",""สตูล!I43"")"),0)</f>
        <v>0</v>
      </c>
      <c r="J108" s="210">
        <f ca="1">IFERROR(__xludf.DUMMYFUNCTION("IMPORTRANGE(""https://docs.google.com/spreadsheets/d/1IYY_tgx_IHuhSq3AJ5eI5OnqOPBNLWSHKh2a30DoXe8/edit?usp=sharing"",""สตูล!J43"")"),0)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IFERROR(__xludf.DUMMYFUNCTION("IMPORTRANGE(""https://docs.google.com/spreadsheets/d/1IYY_tgx_IHuhSq3AJ5eI5OnqOPBNLWSHKh2a30DoXe8/edit?usp=sharing"",""สตูล!I44"")"),0)</f>
        <v>0</v>
      </c>
      <c r="J109" s="210">
        <f ca="1">IFERROR(__xludf.DUMMYFUNCTION("IMPORTRANGE(""https://docs.google.com/spreadsheets/d/1IYY_tgx_IHuhSq3AJ5eI5OnqOPBNLWSHKh2a30DoXe8/edit?usp=sharing"",""สตูล!J44"")"),0)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IFERROR(__xludf.DUMMYFUNCTION("IMPORTRANGE(""https://docs.google.com/spreadsheets/d/1IYY_tgx_IHuhSq3AJ5eI5OnqOPBNLWSHKh2a30DoXe8/edit?usp=sharing"",""สตูล!I45"")"),0)</f>
        <v>0</v>
      </c>
      <c r="J110" s="210">
        <f ca="1">IFERROR(__xludf.DUMMYFUNCTION("IMPORTRANGE(""https://docs.google.com/spreadsheets/d/1IYY_tgx_IHuhSq3AJ5eI5OnqOPBNLWSHKh2a30DoXe8/edit?usp=sharing"",""สตูล!J45"")"),0)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IFERROR(__xludf.DUMMYFUNCTION("IMPORTRANGE(""https://docs.google.com/spreadsheets/d/1IYY_tgx_IHuhSq3AJ5eI5OnqOPBNLWSHKh2a30DoXe8/edit?usp=sharing"",""สตูล!I46"")"),0)</f>
        <v>0</v>
      </c>
      <c r="J111" s="210">
        <f ca="1">IFERROR(__xludf.DUMMYFUNCTION("IMPORTRANGE(""https://docs.google.com/spreadsheets/d/1IYY_tgx_IHuhSq3AJ5eI5OnqOPBNLWSHKh2a30DoXe8/edit?usp=sharing"",""สตูล!J46"")"),0)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IFERROR(__xludf.DUMMYFUNCTION("IMPORTRANGE(""https://docs.google.com/spreadsheets/d/1IYY_tgx_IHuhSq3AJ5eI5OnqOPBNLWSHKh2a30DoXe8/edit?usp=sharing"",""สตูล!I47"")"),0)</f>
        <v>0</v>
      </c>
      <c r="J112" s="210">
        <f ca="1">IFERROR(__xludf.DUMMYFUNCTION("IMPORTRANGE(""https://docs.google.com/spreadsheets/d/1IYY_tgx_IHuhSq3AJ5eI5OnqOPBNLWSHKh2a30DoXe8/edit?usp=sharing"",""สตูล!J47"")"),0)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IFERROR(__xludf.DUMMYFUNCTION("IMPORTRANGE(""https://docs.google.com/spreadsheets/d/1IYY_tgx_IHuhSq3AJ5eI5OnqOPBNLWSHKh2a30DoXe8/edit?usp=sharing"",""สตูล!I48"")"),0)</f>
        <v>0</v>
      </c>
      <c r="J113" s="210">
        <f ca="1">IFERROR(__xludf.DUMMYFUNCTION("IMPORTRANGE(""https://docs.google.com/spreadsheets/d/1IYY_tgx_IHuhSq3AJ5eI5OnqOPBNLWSHKh2a30DoXe8/edit?usp=sharing"",""สตูล!J48"")"),0)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IFERROR(__xludf.DUMMYFUNCTION("IMPORTRANGE(""https://docs.google.com/spreadsheets/d/1IYY_tgx_IHuhSq3AJ5eI5OnqOPBNLWSHKh2a30DoXe8/edit?usp=sharing"",""สตูล!J49"")"),0)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IFERROR(__xludf.DUMMYFUNCTION("IMPORTRANGE(""https://docs.google.com/spreadsheets/d/1IYY_tgx_IHuhSq3AJ5eI5OnqOPBNLWSHKh2a30DoXe8/edit?usp=sharing"",""สตูล!J50"")"),0)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IFERROR(__xludf.DUMMYFUNCTION("IMPORTRANGE(""https://docs.google.com/spreadsheets/d/1IYY_tgx_IHuhSq3AJ5eI5OnqOPBNLWSHKh2a30DoXe8/edit?usp=sharing"",""สตูล!I52"")"),15)</f>
        <v>15</v>
      </c>
      <c r="J117" s="146">
        <f ca="1">IFERROR(__xludf.DUMMYFUNCTION("IMPORTRANGE(""https://docs.google.com/spreadsheets/d/1IYY_tgx_IHuhSq3AJ5eI5OnqOPBNLWSHKh2a30DoXe8/edit?usp=sharing"",""สตูล!J52"")"),15)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13089</v>
      </c>
      <c r="O118" s="155">
        <f t="shared" ref="O118:O120" ca="1" si="59">IF(L118&gt;0,N118*100/L118,0)</f>
        <v>20.171058714748035</v>
      </c>
      <c r="P118" s="155">
        <f t="shared" ref="P118:P120" ca="1" si="60">IF(M118&gt;0,N118*100/M118,0)</f>
        <v>20.171058714748035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13089</v>
      </c>
      <c r="O120" s="160">
        <f t="shared" ca="1" si="59"/>
        <v>20.171058714748035</v>
      </c>
      <c r="P120" s="160">
        <f t="shared" ca="1" si="60"/>
        <v>20.171058714748035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IFERROR(__xludf.DUMMYFUNCTION("IMPORTRANGE(""https://docs.google.com/spreadsheets/d/1Yj_ptqi66GCucihVvJfMjLAmec39IyEx_6qawtMGysU/edit?usp=sharing"",""สบก!BA93"")"),64890)</f>
        <v>64890</v>
      </c>
      <c r="N122" s="174">
        <f ca="1">IFERROR(__xludf.DUMMYFUNCTION("IMPORTRANGE(""https://docs.google.com/spreadsheets/d/1Yj_ptqi66GCucihVvJfMjLAmec39IyEx_6qawtMGysU/edit?usp=sharing"",""สบก!BB93"")"),13089)</f>
        <v>13089</v>
      </c>
      <c r="O122" s="175">
        <f ca="1">IF(L122&gt;0,N122*100/L122,0)</f>
        <v>20.171058714748035</v>
      </c>
      <c r="P122" s="175">
        <f ca="1">IF(M122&gt;0,N122*100/M122,0)</f>
        <v>20.171058714748035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IFERROR(__xludf.DUMMYFUNCTION("IMPORTRANGE(""https://docs.google.com/spreadsheets/d/1Yj_ptqi66GCucihVvJfMjLAmec39IyEx_6qawtMGysU/edit?usp=sharing"",""สบก!AW93"")"),0)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IFERROR(__xludf.DUMMYFUNCTION("IMPORTRANGE(""https://docs.google.com/spreadsheets/d/1Yj_ptqi66GCucihVvJfMjLAmec39IyEx_6qawtMGysU/edit?usp=sharing"",""สบก!AX93"")"),64890)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IFERROR(__xludf.DUMMYFUNCTION("IMPORTRANGE(""https://docs.google.com/spreadsheets/d/1Yj_ptqi66GCucihVvJfMjLAmec39IyEx_6qawtMGysU/edit?usp=sharing"",""สบก!AY93"")"),0)</f>
        <v>0</v>
      </c>
      <c r="M126" s="101"/>
      <c r="N126" s="91">
        <f ca="1">IFERROR(__xludf.DUMMYFUNCTION("IMPORTRANGE(""https://docs.google.com/spreadsheets/d/1Yj_ptqi66GCucihVvJfMjLAmec39IyEx_6qawtMGysU/edit?usp=sharing"",""สบก!BC93"")"),0)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IFERROR(__xludf.DUMMYFUNCTION("IMPORTRANGE(""https://docs.google.com/spreadsheets/d/1IYY_tgx_IHuhSq3AJ5eI5OnqOPBNLWSHKh2a30DoXe8/edit?usp=sharing"",""สตูล!J58"")"),0)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IFERROR(__xludf.DUMMYFUNCTION("IMPORTRANGE(""https://docs.google.com/spreadsheets/d/1IYY_tgx_IHuhSq3AJ5eI5OnqOPBNLWSHKh2a30DoXe8/edit?usp=sharing"",""สตูล!J59"")"),1)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IFERROR(__xludf.DUMMYFUNCTION("IMPORTRANGE(""https://docs.google.com/spreadsheets/d/1IYY_tgx_IHuhSq3AJ5eI5OnqOPBNLWSHKh2a30DoXe8/edit?usp=sharing"",""สตูล!J60"")"),1)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IFERROR(__xludf.DUMMYFUNCTION("IMPORTRANGE(""https://docs.google.com/spreadsheets/d/1IYY_tgx_IHuhSq3AJ5eI5OnqOPBNLWSHKh2a30DoXe8/edit?usp=sharing"",""สตูล!J61"")"),1)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IFERROR(__xludf.DUMMYFUNCTION("IMPORTRANGE(""https://docs.google.com/spreadsheets/d/1IYY_tgx_IHuhSq3AJ5eI5OnqOPBNLWSHKh2a30DoXe8/edit?usp=sharing"",""สตูล!I62"")"),15)</f>
        <v>15</v>
      </c>
      <c r="J132" s="210">
        <f ca="1">IFERROR(__xludf.DUMMYFUNCTION("IMPORTRANGE(""https://docs.google.com/spreadsheets/d/1IYY_tgx_IHuhSq3AJ5eI5OnqOPBNLWSHKh2a30DoXe8/edit?usp=sharing"",""สตูล!J62"")"),15)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IFERROR(__xludf.DUMMYFUNCTION("IMPORTRANGE(""https://docs.google.com/spreadsheets/d/1IYY_tgx_IHuhSq3AJ5eI5OnqOPBNLWSHKh2a30DoXe8/edit?usp=sharing"",""สตูล!I63"")"),15)</f>
        <v>15</v>
      </c>
      <c r="J133" s="210">
        <f ca="1">IFERROR(__xludf.DUMMYFUNCTION("IMPORTRANGE(""https://docs.google.com/spreadsheets/d/1IYY_tgx_IHuhSq3AJ5eI5OnqOPBNLWSHKh2a30DoXe8/edit?usp=sharing"",""สตูล!J63"")"),15)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IFERROR(__xludf.DUMMYFUNCTION("IMPORTRANGE(""https://docs.google.com/spreadsheets/d/1IYY_tgx_IHuhSq3AJ5eI5OnqOPBNLWSHKh2a30DoXe8/edit?usp=sharing"",""สตูล!J64"")"),0)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IFERROR(__xludf.DUMMYFUNCTION("IMPORTRANGE(""https://docs.google.com/spreadsheets/d/1IYY_tgx_IHuhSq3AJ5eI5OnqOPBNLWSHKh2a30DoXe8/edit?usp=sharing"",""สตูล!J65"")"),0)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IFERROR(__xludf.DUMMYFUNCTION("IMPORTRANGE(""https://docs.google.com/spreadsheets/d/1IYY_tgx_IHuhSq3AJ5eI5OnqOPBNLWSHKh2a30DoXe8/edit?usp=sharing"",""สตูล!I68"")"),0)</f>
        <v>0</v>
      </c>
      <c r="J138" s="273">
        <f ca="1">IFERROR(__xludf.DUMMYFUNCTION("IMPORTRANGE(""https://docs.google.com/spreadsheets/d/1IYY_tgx_IHuhSq3AJ5eI5OnqOPBNLWSHKh2a30DoXe8/edit?usp=sharing"",""สตูล!J68"")"),0)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42700</v>
      </c>
      <c r="M140" s="156">
        <f t="shared" ca="1" si="64"/>
        <v>41625</v>
      </c>
      <c r="N140" s="156">
        <f t="shared" ca="1" si="64"/>
        <v>29375</v>
      </c>
      <c r="O140" s="155">
        <f t="shared" ref="O140:O142" ca="1" si="65">IF(L140&gt;0,N140*100/L140,0)</f>
        <v>68.793911007025756</v>
      </c>
      <c r="P140" s="155">
        <f t="shared" ref="P140:P142" ca="1" si="66">IF(M140&gt;0,N140*100/M140,0)</f>
        <v>70.570570570570567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42700</v>
      </c>
      <c r="M142" s="161">
        <f t="shared" ca="1" si="68"/>
        <v>41625</v>
      </c>
      <c r="N142" s="161">
        <f t="shared" ca="1" si="68"/>
        <v>29375</v>
      </c>
      <c r="O142" s="160">
        <f t="shared" ca="1" si="65"/>
        <v>68.793911007025756</v>
      </c>
      <c r="P142" s="160">
        <f t="shared" ca="1" si="66"/>
        <v>70.570570570570567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42700</v>
      </c>
      <c r="M144" s="173">
        <f ca="1">IFERROR(__xludf.DUMMYFUNCTION("IMPORTRANGE(""https://docs.google.com/spreadsheets/d/1Yj_ptqi66GCucihVvJfMjLAmec39IyEx_6qawtMGysU/edit?usp=sharing"",""สบก!BJ93"")"),41625)</f>
        <v>41625</v>
      </c>
      <c r="N144" s="174">
        <f ca="1">IFERROR(__xludf.DUMMYFUNCTION("IMPORTRANGE(""https://docs.google.com/spreadsheets/d/1Yj_ptqi66GCucihVvJfMjLAmec39IyEx_6qawtMGysU/edit?usp=sharing"",""สบก!BK93"")"),29375)</f>
        <v>29375</v>
      </c>
      <c r="O144" s="175">
        <f ca="1">IF(L144&gt;0,N144*100/L144,0)</f>
        <v>68.793911007025756</v>
      </c>
      <c r="P144" s="175">
        <f ca="1">IF(M144&gt;0,N144*100/M144,0)</f>
        <v>70.570570570570567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IFERROR(__xludf.DUMMYFUNCTION("IMPORTRANGE(""https://docs.google.com/spreadsheets/d/1Yj_ptqi66GCucihVvJfMjLAmec39IyEx_6qawtMGysU/edit?usp=sharing"",""สบก!BF93"")"),0)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IFERROR(__xludf.DUMMYFUNCTION("IMPORTRANGE(""https://docs.google.com/spreadsheets/d/1Yj_ptqi66GCucihVvJfMjLAmec39IyEx_6qawtMGysU/edit?usp=sharing"",""สบก!BG93"")"),42700)</f>
        <v>42700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IFERROR(__xludf.DUMMYFUNCTION("IMPORTRANGE(""https://docs.google.com/spreadsheets/d/1Yj_ptqi66GCucihVvJfMjLAmec39IyEx_6qawtMGysU/edit?usp=sharing"",""สบก!BH93"")"),0)</f>
        <v>0</v>
      </c>
      <c r="M148" s="101"/>
      <c r="N148" s="91">
        <f ca="1">IFERROR(__xludf.DUMMYFUNCTION("IMPORTRANGE(""https://docs.google.com/spreadsheets/d/1Yj_ptqi66GCucihVvJfMjLAmec39IyEx_6qawtMGysU/edit?usp=sharing"",""สบก!BL93"")"),0)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IFERROR(__xludf.DUMMYFUNCTION("IMPORTRANGE(""https://docs.google.com/spreadsheets/d/1IYY_tgx_IHuhSq3AJ5eI5OnqOPBNLWSHKh2a30DoXe8/edit?usp=sharing"",""สตูล!I74"")"),4)</f>
        <v>4</v>
      </c>
      <c r="J149" s="281">
        <f ca="1">IFERROR(__xludf.DUMMYFUNCTION("IMPORTRANGE(""https://docs.google.com/spreadsheets/d/1IYY_tgx_IHuhSq3AJ5eI5OnqOPBNLWSHKh2a30DoXe8/edit?usp=sharing"",""สตูล!J74"")"),2)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IFERROR(__xludf.DUMMYFUNCTION("IMPORTRANGE(""https://docs.google.com/spreadsheets/d/1IYY_tgx_IHuhSq3AJ5eI5OnqOPBNLWSHKh2a30DoXe8/edit?usp=sharing"",""สตูล!J79"")"),0)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IFERROR(__xludf.DUMMYFUNCTION("IMPORTRANGE(""https://docs.google.com/spreadsheets/d/1IYY_tgx_IHuhSq3AJ5eI5OnqOPBNLWSHKh2a30DoXe8/edit?usp=sharing"",""สตูล!J80"")"),1)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IFERROR(__xludf.DUMMYFUNCTION("IMPORTRANGE(""https://docs.google.com/spreadsheets/d/1IYY_tgx_IHuhSq3AJ5eI5OnqOPBNLWSHKh2a30DoXe8/edit?usp=sharing"",""สตูล!J81"")"),1)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IFERROR(__xludf.DUMMYFUNCTION("IMPORTRANGE(""https://docs.google.com/spreadsheets/d/1IYY_tgx_IHuhSq3AJ5eI5OnqOPBNLWSHKh2a30DoXe8/edit?usp=sharing"",""สตูล!J82"")"),1)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IFERROR(__xludf.DUMMYFUNCTION("IMPORTRANGE(""https://docs.google.com/spreadsheets/d/1IYY_tgx_IHuhSq3AJ5eI5OnqOPBNLWSHKh2a30DoXe8/edit?usp=sharing"",""สตูล!I83"")"),4)</f>
        <v>4</v>
      </c>
      <c r="J158" s="195">
        <f ca="1">IFERROR(__xludf.DUMMYFUNCTION("IMPORTRANGE(""https://docs.google.com/spreadsheets/d/1IYY_tgx_IHuhSq3AJ5eI5OnqOPBNLWSHKh2a30DoXe8/edit?usp=sharing"",""สตูล!J83"")"),2)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IFERROR(__xludf.DUMMYFUNCTION("IMPORTRANGE(""https://docs.google.com/spreadsheets/d/1IYY_tgx_IHuhSq3AJ5eI5OnqOPBNLWSHKh2a30DoXe8/edit?usp=sharing"",""สตูล!J84"")"),12)</f>
        <v>12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IFERROR(__xludf.DUMMYFUNCTION("IMPORTRANGE(""https://docs.google.com/spreadsheets/d/1IYY_tgx_IHuhSq3AJ5eI5OnqOPBNLWSHKh2a30DoXe8/edit?usp=sharing"",""สตูล!J85"")"),12)</f>
        <v>12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IFERROR(__xludf.DUMMYFUNCTION("IMPORTRANGE(""https://docs.google.com/spreadsheets/d/1IYY_tgx_IHuhSq3AJ5eI5OnqOPBNLWSHKh2a30DoXe8/edit?usp=sharing"",""สตูล!J86"")"),0)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IFERROR(__xludf.DUMMYFUNCTION("IMPORTRANGE(""https://docs.google.com/spreadsheets/d/1IYY_tgx_IHuhSq3AJ5eI5OnqOPBNLWSHKh2a30DoXe8/edit?usp=sharing"",""สตูล!J87"")"),0)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IFERROR(__xludf.DUMMYFUNCTION("IMPORTRANGE(""https://docs.google.com/spreadsheets/d/1IYY_tgx_IHuhSq3AJ5eI5OnqOPBNLWSHKh2a30DoXe8/edit?usp=sharing"",""สตูล!J88"")"),0)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IFERROR(__xludf.DUMMYFUNCTION("IMPORTRANGE(""https://docs.google.com/spreadsheets/d/1IYY_tgx_IHuhSq3AJ5eI5OnqOPBNLWSHKh2a30DoXe8/edit?usp=sharing"",""สตูล!I89"")"),2)</f>
        <v>2</v>
      </c>
      <c r="J164" s="290">
        <f ca="1">IFERROR(__xludf.DUMMYFUNCTION("IMPORTRANGE(""https://docs.google.com/spreadsheets/d/1IYY_tgx_IHuhSq3AJ5eI5OnqOPBNLWSHKh2a30DoXe8/edit?usp=sharing"",""สตูล!J89"")"),2)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IFERROR(__xludf.DUMMYFUNCTION("IMPORTRANGE(""https://docs.google.com/spreadsheets/d/1IYY_tgx_IHuhSq3AJ5eI5OnqOPBNLWSHKh2a30DoXe8/edit?usp=sharing"",""สตูล!J94"")"),0)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IFERROR(__xludf.DUMMYFUNCTION("IMPORTRANGE(""https://docs.google.com/spreadsheets/d/1IYY_tgx_IHuhSq3AJ5eI5OnqOPBNLWSHKh2a30DoXe8/edit?usp=sharing"",""สตูล!J95"")"),1)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IFERROR(__xludf.DUMMYFUNCTION("IMPORTRANGE(""https://docs.google.com/spreadsheets/d/1IYY_tgx_IHuhSq3AJ5eI5OnqOPBNLWSHKh2a30DoXe8/edit?usp=sharing"",""สตูล!J96"")"),1)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IFERROR(__xludf.DUMMYFUNCTION("IMPORTRANGE(""https://docs.google.com/spreadsheets/d/1IYY_tgx_IHuhSq3AJ5eI5OnqOPBNLWSHKh2a30DoXe8/edit?usp=sharing"",""สตูล!J97"")"),1)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IFERROR(__xludf.DUMMYFUNCTION("IMPORTRANGE(""https://docs.google.com/spreadsheets/d/1IYY_tgx_IHuhSq3AJ5eI5OnqOPBNLWSHKh2a30DoXe8/edit?usp=sharing"",""สตูล!I98"")"),2)</f>
        <v>2</v>
      </c>
      <c r="J173" s="195">
        <f ca="1">IFERROR(__xludf.DUMMYFUNCTION("IMPORTRANGE(""https://docs.google.com/spreadsheets/d/1IYY_tgx_IHuhSq3AJ5eI5OnqOPBNLWSHKh2a30DoXe8/edit?usp=sharing"",""สตูล!J98"")"),2)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IFERROR(__xludf.DUMMYFUNCTION("IMPORTRANGE(""https://docs.google.com/spreadsheets/d/1IYY_tgx_IHuhSq3AJ5eI5OnqOPBNLWSHKh2a30DoXe8/edit?usp=sharing"",""สตูล!J99"")"),0)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IFERROR(__xludf.DUMMYFUNCTION("IMPORTRANGE(""https://docs.google.com/spreadsheets/d/1IYY_tgx_IHuhSq3AJ5eI5OnqOPBNLWSHKh2a30DoXe8/edit?usp=sharing"",""สตูล!J100"")"),0)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IFERROR(__xludf.DUMMYFUNCTION("IMPORTRANGE(""https://docs.google.com/spreadsheets/d/1IYY_tgx_IHuhSq3AJ5eI5OnqOPBNLWSHKh2a30DoXe8/edit?usp=sharing"",""สตูล!I101"")"),0)</f>
        <v>0</v>
      </c>
      <c r="J176" s="290">
        <f ca="1">IFERROR(__xludf.DUMMYFUNCTION("IMPORTRANGE(""https://docs.google.com/spreadsheets/d/1IYY_tgx_IHuhSq3AJ5eI5OnqOPBNLWSHKh2a30DoXe8/edit?usp=sharing"",""สตูล!J101"")"),0)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IFERROR(__xludf.DUMMYFUNCTION("IMPORTRANGE(""https://docs.google.com/spreadsheets/d/1IYY_tgx_IHuhSq3AJ5eI5OnqOPBNLWSHKh2a30DoXe8/edit?usp=sharing"",""สตูล!J106"")"),0)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IFERROR(__xludf.DUMMYFUNCTION("IMPORTRANGE(""https://docs.google.com/spreadsheets/d/1IYY_tgx_IHuhSq3AJ5eI5OnqOPBNLWSHKh2a30DoXe8/edit?usp=sharing"",""สตูล!J107"")"),0)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IFERROR(__xludf.DUMMYFUNCTION("IMPORTRANGE(""https://docs.google.com/spreadsheets/d/1IYY_tgx_IHuhSq3AJ5eI5OnqOPBNLWSHKh2a30DoXe8/edit?usp=sharing"",""สตูล!J108"")"),0)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IFERROR(__xludf.DUMMYFUNCTION("IMPORTRANGE(""https://docs.google.com/spreadsheets/d/1IYY_tgx_IHuhSq3AJ5eI5OnqOPBNLWSHKh2a30DoXe8/edit?usp=sharing"",""สตูล!J109"")"),0)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IFERROR(__xludf.DUMMYFUNCTION("IMPORTRANGE(""https://docs.google.com/spreadsheets/d/1IYY_tgx_IHuhSq3AJ5eI5OnqOPBNLWSHKh2a30DoXe8/edit?usp=sharing"",""สตูล!I110"")"),0)</f>
        <v>0</v>
      </c>
      <c r="J185" s="210">
        <f ca="1">IFERROR(__xludf.DUMMYFUNCTION("IMPORTRANGE(""https://docs.google.com/spreadsheets/d/1IYY_tgx_IHuhSq3AJ5eI5OnqOPBNLWSHKh2a30DoXe8/edit?usp=sharing"",""สตูล!J110"")"),0)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IFERROR(__xludf.DUMMYFUNCTION("IMPORTRANGE(""https://docs.google.com/spreadsheets/d/1IYY_tgx_IHuhSq3AJ5eI5OnqOPBNLWSHKh2a30DoXe8/edit?usp=sharing"",""สตูล!I111"")"),0)</f>
        <v>0</v>
      </c>
      <c r="J186" s="210">
        <f ca="1">IFERROR(__xludf.DUMMYFUNCTION("IMPORTRANGE(""https://docs.google.com/spreadsheets/d/1IYY_tgx_IHuhSq3AJ5eI5OnqOPBNLWSHKh2a30DoXe8/edit?usp=sharing"",""สตูล!J111"")"),0)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IFERROR(__xludf.DUMMYFUNCTION("IMPORTRANGE(""https://docs.google.com/spreadsheets/d/1IYY_tgx_IHuhSq3AJ5eI5OnqOPBNLWSHKh2a30DoXe8/edit?usp=sharing"",""สตูล!J112"")"),0)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IFERROR(__xludf.DUMMYFUNCTION("IMPORTRANGE(""https://docs.google.com/spreadsheets/d/1IYY_tgx_IHuhSq3AJ5eI5OnqOPBNLWSHKh2a30DoXe8/edit?usp=sharing"",""สตูล!J113"")"),0)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IFERROR(__xludf.DUMMYFUNCTION("IMPORTRANGE(""https://docs.google.com/spreadsheets/d/1IYY_tgx_IHuhSq3AJ5eI5OnqOPBNLWSHKh2a30DoXe8/edit?usp=sharing"",""สตูล!I114"")"),6400)</f>
        <v>6400</v>
      </c>
      <c r="J189" s="290">
        <f ca="1">IFERROR(__xludf.DUMMYFUNCTION("IMPORTRANGE(""https://docs.google.com/spreadsheets/d/1IYY_tgx_IHuhSq3AJ5eI5OnqOPBNLWSHKh2a30DoXe8/edit?usp=sharing"",""สตูล!J114"")"),0)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IFERROR(__xludf.DUMMYFUNCTION("IMPORTRANGE(""https://docs.google.com/spreadsheets/d/1IYY_tgx_IHuhSq3AJ5eI5OnqOPBNLWSHKh2a30DoXe8/edit?usp=sharing"",""สตูล!J119"")"),1)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IFERROR(__xludf.DUMMYFUNCTION("IMPORTRANGE(""https://docs.google.com/spreadsheets/d/1IYY_tgx_IHuhSq3AJ5eI5OnqOPBNLWSHKh2a30DoXe8/edit?usp=sharing"",""สตูล!J120"")"),0)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IFERROR(__xludf.DUMMYFUNCTION("IMPORTRANGE(""https://docs.google.com/spreadsheets/d/1IYY_tgx_IHuhSq3AJ5eI5OnqOPBNLWSHKh2a30DoXe8/edit?usp=sharing"",""สตูล!J121"")"),0)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IFERROR(__xludf.DUMMYFUNCTION("IMPORTRANGE(""https://docs.google.com/spreadsheets/d/1IYY_tgx_IHuhSq3AJ5eI5OnqOPBNLWSHKh2a30DoXe8/edit?usp=sharing"",""สตูล!J122"")"),0)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IFERROR(__xludf.DUMMYFUNCTION("IMPORTRANGE(""https://docs.google.com/spreadsheets/d/1IYY_tgx_IHuhSq3AJ5eI5OnqOPBNLWSHKh2a30DoXe8/edit?usp=sharing"",""สตูล!I124"")"),6400)</f>
        <v>6400</v>
      </c>
      <c r="J199" s="195">
        <f ca="1">IFERROR(__xludf.DUMMYFUNCTION("IMPORTRANGE(""https://docs.google.com/spreadsheets/d/1IYY_tgx_IHuhSq3AJ5eI5OnqOPBNLWSHKh2a30DoXe8/edit?usp=sharing"",""สตูล!J124"")"),0)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IFERROR(__xludf.DUMMYFUNCTION("IMPORTRANGE(""https://docs.google.com/spreadsheets/d/1IYY_tgx_IHuhSq3AJ5eI5OnqOPBNLWSHKh2a30DoXe8/edit?usp=sharing"",""สตูล!I125"")"),6400)</f>
        <v>6400</v>
      </c>
      <c r="J200" s="195">
        <f ca="1">IFERROR(__xludf.DUMMYFUNCTION("IMPORTRANGE(""https://docs.google.com/spreadsheets/d/1IYY_tgx_IHuhSq3AJ5eI5OnqOPBNLWSHKh2a30DoXe8/edit?usp=sharing"",""สตูล!J125"")"),0)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IFERROR(__xludf.DUMMYFUNCTION("IMPORTRANGE(""https://docs.google.com/spreadsheets/d/1IYY_tgx_IHuhSq3AJ5eI5OnqOPBNLWSHKh2a30DoXe8/edit?usp=sharing"",""สตูล!I126"")"),0)</f>
        <v>0</v>
      </c>
      <c r="J201" s="195">
        <f ca="1">IFERROR(__xludf.DUMMYFUNCTION("IMPORTRANGE(""https://docs.google.com/spreadsheets/d/1IYY_tgx_IHuhSq3AJ5eI5OnqOPBNLWSHKh2a30DoXe8/edit?usp=sharing"",""สตูล!J126"")"),0)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IFERROR(__xludf.DUMMYFUNCTION("IMPORTRANGE(""https://docs.google.com/spreadsheets/d/1IYY_tgx_IHuhSq3AJ5eI5OnqOPBNLWSHKh2a30DoXe8/edit?usp=sharing"",""สตูล!J127"")"),0)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IFERROR(__xludf.DUMMYFUNCTION("IMPORTRANGE(""https://docs.google.com/spreadsheets/d/1IYY_tgx_IHuhSq3AJ5eI5OnqOPBNLWSHKh2a30DoXe8/edit?usp=sharing"",""สตูล!J128"")"),0)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IFERROR(__xludf.DUMMYFUNCTION("IMPORTRANGE(""https://docs.google.com/spreadsheets/d/1IYY_tgx_IHuhSq3AJ5eI5OnqOPBNLWSHKh2a30DoXe8/edit?usp=sharing"",""สตูล!I129"")"),0)</f>
        <v>0</v>
      </c>
      <c r="J204" s="290">
        <f ca="1">IFERROR(__xludf.DUMMYFUNCTION("IMPORTRANGE(""https://docs.google.com/spreadsheets/d/1IYY_tgx_IHuhSq3AJ5eI5OnqOPBNLWSHKh2a30DoXe8/edit?usp=sharing"",""สตูล!J129"")"),0)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IFERROR(__xludf.DUMMYFUNCTION("IMPORTRANGE(""https://docs.google.com/spreadsheets/d/1IYY_tgx_IHuhSq3AJ5eI5OnqOPBNLWSHKh2a30DoXe8/edit?usp=sharing"",""สตูล!J134"")"),0)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IFERROR(__xludf.DUMMYFUNCTION("IMPORTRANGE(""https://docs.google.com/spreadsheets/d/1IYY_tgx_IHuhSq3AJ5eI5OnqOPBNLWSHKh2a30DoXe8/edit?usp=sharing"",""สตูล!J135"")"),0)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IFERROR(__xludf.DUMMYFUNCTION("IMPORTRANGE(""https://docs.google.com/spreadsheets/d/1IYY_tgx_IHuhSq3AJ5eI5OnqOPBNLWSHKh2a30DoXe8/edit?usp=sharing"",""สตูล!J136"")"),0)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IFERROR(__xludf.DUMMYFUNCTION("IMPORTRANGE(""https://docs.google.com/spreadsheets/d/1IYY_tgx_IHuhSq3AJ5eI5OnqOPBNLWSHKh2a30DoXe8/edit?usp=sharing"",""สตูล!J137"")"),0)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IFERROR(__xludf.DUMMYFUNCTION("IMPORTRANGE(""https://docs.google.com/spreadsheets/d/1IYY_tgx_IHuhSq3AJ5eI5OnqOPBNLWSHKh2a30DoXe8/edit?usp=sharing"",""สตูล!I138"")"),0)</f>
        <v>0</v>
      </c>
      <c r="J213" s="210">
        <f ca="1">IFERROR(__xludf.DUMMYFUNCTION("IMPORTRANGE(""https://docs.google.com/spreadsheets/d/1IYY_tgx_IHuhSq3AJ5eI5OnqOPBNLWSHKh2a30DoXe8/edit?usp=sharing"",""สตูล!J138"")"),0)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IFERROR(__xludf.DUMMYFUNCTION("IMPORTRANGE(""https://docs.google.com/spreadsheets/d/1IYY_tgx_IHuhSq3AJ5eI5OnqOPBNLWSHKh2a30DoXe8/edit?usp=sharing"",""สตูล!I140"")"),0)</f>
        <v>0</v>
      </c>
      <c r="J215" s="210">
        <f ca="1">IFERROR(__xludf.DUMMYFUNCTION("IMPORTRANGE(""https://docs.google.com/spreadsheets/d/1IYY_tgx_IHuhSq3AJ5eI5OnqOPBNLWSHKh2a30DoXe8/edit?usp=sharing"",""สตูล!J140"")"),0)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IFERROR(__xludf.DUMMYFUNCTION("IMPORTRANGE(""https://docs.google.com/spreadsheets/d/1IYY_tgx_IHuhSq3AJ5eI5OnqOPBNLWSHKh2a30DoXe8/edit?usp=sharing"",""สตูล!I141"")"),0)</f>
        <v>0</v>
      </c>
      <c r="J216" s="210">
        <f ca="1">IFERROR(__xludf.DUMMYFUNCTION("IMPORTRANGE(""https://docs.google.com/spreadsheets/d/1IYY_tgx_IHuhSq3AJ5eI5OnqOPBNLWSHKh2a30DoXe8/edit?usp=sharing"",""สตูล!J141"")"),0)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IFERROR(__xludf.DUMMYFUNCTION("IMPORTRANGE(""https://docs.google.com/spreadsheets/d/1IYY_tgx_IHuhSq3AJ5eI5OnqOPBNLWSHKh2a30DoXe8/edit?usp=sharing"",""สตูล!J142"")"),0)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IFERROR(__xludf.DUMMYFUNCTION("IMPORTRANGE(""https://docs.google.com/spreadsheets/d/1IYY_tgx_IHuhSq3AJ5eI5OnqOPBNLWSHKh2a30DoXe8/edit?usp=sharing"",""สตูล!J143"")"),0)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IFERROR(__xludf.DUMMYFUNCTION("IMPORTRANGE(""https://docs.google.com/spreadsheets/d/1IYY_tgx_IHuhSq3AJ5eI5OnqOPBNLWSHKh2a30DoXe8/edit?usp=sharing"",""สตูล!I144"")"),18)</f>
        <v>18</v>
      </c>
      <c r="J219" s="273">
        <f ca="1">IFERROR(__xludf.DUMMYFUNCTION("IMPORTRANGE(""https://docs.google.com/spreadsheets/d/1IYY_tgx_IHuhSq3AJ5eI5OnqOPBNLWSHKh2a30DoXe8/edit?usp=sharing"",""สตูล!J144"")"),18)</f>
        <v>18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23870</v>
      </c>
      <c r="M220" s="156">
        <f t="shared" ca="1" si="72"/>
        <v>23870</v>
      </c>
      <c r="N220" s="156">
        <f t="shared" ca="1" si="72"/>
        <v>23870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23870</v>
      </c>
      <c r="M222" s="161">
        <f t="shared" ca="1" si="76"/>
        <v>23870</v>
      </c>
      <c r="N222" s="161">
        <f t="shared" ca="1" si="76"/>
        <v>23870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23870</v>
      </c>
      <c r="M224" s="173">
        <f ca="1">IFERROR(__xludf.DUMMYFUNCTION("IMPORTRANGE(""https://docs.google.com/spreadsheets/d/1Yj_ptqi66GCucihVvJfMjLAmec39IyEx_6qawtMGysU/edit?usp=sharing"",""สบก!BS93"")"),23870)</f>
        <v>23870</v>
      </c>
      <c r="N224" s="174">
        <f ca="1">IFERROR(__xludf.DUMMYFUNCTION("IMPORTRANGE(""https://docs.google.com/spreadsheets/d/1Yj_ptqi66GCucihVvJfMjLAmec39IyEx_6qawtMGysU/edit?usp=sharing"",""สบก!BT93"")"),23870)</f>
        <v>23870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IFERROR(__xludf.DUMMYFUNCTION("IMPORTRANGE(""https://docs.google.com/spreadsheets/d/1Yj_ptqi66GCucihVvJfMjLAmec39IyEx_6qawtMGysU/edit?usp=sharing"",""สบก!BO93"")"),0)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IFERROR(__xludf.DUMMYFUNCTION("IMPORTRANGE(""https://docs.google.com/spreadsheets/d/1Yj_ptqi66GCucihVvJfMjLAmec39IyEx_6qawtMGysU/edit?usp=sharing"",""สบก!BP93"")"),23870)</f>
        <v>23870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IFERROR(__xludf.DUMMYFUNCTION("IMPORTRANGE(""https://docs.google.com/spreadsheets/d/1Yj_ptqi66GCucihVvJfMjLAmec39IyEx_6qawtMGysU/edit?usp=sharing"",""สบก!BQ93"")"),0)</f>
        <v>0</v>
      </c>
      <c r="M228" s="101"/>
      <c r="N228" s="91">
        <f ca="1">IFERROR(__xludf.DUMMYFUNCTION("IMPORTRANGE(""https://docs.google.com/spreadsheets/d/1Yj_ptqi66GCucihVvJfMjLAmec39IyEx_6qawtMGysU/edit?usp=sharing"",""สบก!BU93"")"),0)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IFERROR(__xludf.DUMMYFUNCTION("IMPORTRANGE(""https://docs.google.com/spreadsheets/d/1IYY_tgx_IHuhSq3AJ5eI5OnqOPBNLWSHKh2a30DoXe8/edit?usp=sharing"",""สตูล!I149"")"),18)</f>
        <v>18</v>
      </c>
      <c r="J229" s="273">
        <f ca="1">IFERROR(__xludf.DUMMYFUNCTION("IMPORTRANGE(""https://docs.google.com/spreadsheets/d/1IYY_tgx_IHuhSq3AJ5eI5OnqOPBNLWSHKh2a30DoXe8/edit?usp=sharing"",""สตูล!J149"")"),18)</f>
        <v>18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IFERROR(__xludf.DUMMYFUNCTION("IMPORTRANGE(""https://docs.google.com/spreadsheets/d/1IYY_tgx_IHuhSq3AJ5eI5OnqOPBNLWSHKh2a30DoXe8/edit?usp=sharing"",""สตูล!J151"")"),0)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IFERROR(__xludf.DUMMYFUNCTION("IMPORTRANGE(""https://docs.google.com/spreadsheets/d/1IYY_tgx_IHuhSq3AJ5eI5OnqOPBNLWSHKh2a30DoXe8/edit?usp=sharing"",""สตูล!J152"")"),1)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IFERROR(__xludf.DUMMYFUNCTION("IMPORTRANGE(""https://docs.google.com/spreadsheets/d/1IYY_tgx_IHuhSq3AJ5eI5OnqOPBNLWSHKh2a30DoXe8/edit?usp=sharing"",""สตูล!J153"")"),1)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IFERROR(__xludf.DUMMYFUNCTION("IMPORTRANGE(""https://docs.google.com/spreadsheets/d/1IYY_tgx_IHuhSq3AJ5eI5OnqOPBNLWSHKh2a30DoXe8/edit?usp=sharing"",""สตูล!J154"")"),1)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IFERROR(__xludf.DUMMYFUNCTION("IMPORTRANGE(""https://docs.google.com/spreadsheets/d/1IYY_tgx_IHuhSq3AJ5eI5OnqOPBNLWSHKh2a30DoXe8/edit?usp=sharing"",""สตูล!I155"")"),18)</f>
        <v>18</v>
      </c>
      <c r="J235" s="195">
        <f ca="1">IFERROR(__xludf.DUMMYFUNCTION("IMPORTRANGE(""https://docs.google.com/spreadsheets/d/1IYY_tgx_IHuhSq3AJ5eI5OnqOPBNLWSHKh2a30DoXe8/edit?usp=sharing"",""สตูล!J155"")"),18)</f>
        <v>18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IFERROR(__xludf.DUMMYFUNCTION("IMPORTRANGE(""https://docs.google.com/spreadsheets/d/1IYY_tgx_IHuhSq3AJ5eI5OnqOPBNLWSHKh2a30DoXe8/edit?usp=sharing"",""สตูล!J156"")"),0)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IFERROR(__xludf.DUMMYFUNCTION("IMPORTRANGE(""https://docs.google.com/spreadsheets/d/1IYY_tgx_IHuhSq3AJ5eI5OnqOPBNLWSHKh2a30DoXe8/edit?usp=sharing"",""สตูล!J157"")"),0)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IFERROR(__xludf.DUMMYFUNCTION("IMPORTRANGE(""https://docs.google.com/spreadsheets/d/1IYY_tgx_IHuhSq3AJ5eI5OnqOPBNLWSHKh2a30DoXe8/edit?usp=sharing"",""สตูล!I158"")"),0)</f>
        <v>0</v>
      </c>
      <c r="J238" s="273">
        <f ca="1">IFERROR(__xludf.DUMMYFUNCTION("IMPORTRANGE(""https://docs.google.com/spreadsheets/d/1IYY_tgx_IHuhSq3AJ5eI5OnqOPBNLWSHKh2a30DoXe8/edit?usp=sharing"",""สตูล!J158"")"),0)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IFERROR(__xludf.DUMMYFUNCTION("IMPORTRANGE(""https://docs.google.com/spreadsheets/d/1IYY_tgx_IHuhSq3AJ5eI5OnqOPBNLWSHKh2a30DoXe8/edit?usp=sharing"",""สตูล!J159"")"),"")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IFERROR(__xludf.DUMMYFUNCTION("IMPORTRANGE(""https://docs.google.com/spreadsheets/d/1IYY_tgx_IHuhSq3AJ5eI5OnqOPBNLWSHKh2a30DoXe8/edit?usp=sharing"",""สตูล!J161"")"),0)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IFERROR(__xludf.DUMMYFUNCTION("IMPORTRANGE(""https://docs.google.com/spreadsheets/d/1IYY_tgx_IHuhSq3AJ5eI5OnqOPBNLWSHKh2a30DoXe8/edit?usp=sharing"",""สตูล!J162"")"),0)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IFERROR(__xludf.DUMMYFUNCTION("IMPORTRANGE(""https://docs.google.com/spreadsheets/d/1IYY_tgx_IHuhSq3AJ5eI5OnqOPBNLWSHKh2a30DoXe8/edit?usp=sharing"",""สตูล!J163"")"),0)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IFERROR(__xludf.DUMMYFUNCTION("IMPORTRANGE(""https://docs.google.com/spreadsheets/d/1IYY_tgx_IHuhSq3AJ5eI5OnqOPBNLWSHKh2a30DoXe8/edit?usp=sharing"",""สตูล!I164"")"),0)</f>
        <v>0</v>
      </c>
      <c r="J244" s="194">
        <f ca="1">IFERROR(__xludf.DUMMYFUNCTION("IMPORTRANGE(""https://docs.google.com/spreadsheets/d/1IYY_tgx_IHuhSq3AJ5eI5OnqOPBNLWSHKh2a30DoXe8/edit?usp=sharing"",""สตูล!J164"")"),0)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IFERROR(__xludf.DUMMYFUNCTION("IMPORTRANGE(""https://docs.google.com/spreadsheets/d/1IYY_tgx_IHuhSq3AJ5eI5OnqOPBNLWSHKh2a30DoXe8/edit?usp=sharing"",""สตูล!J165"")"),0)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IFERROR(__xludf.DUMMYFUNCTION("IMPORTRANGE(""https://docs.google.com/spreadsheets/d/1IYY_tgx_IHuhSq3AJ5eI5OnqOPBNLWSHKh2a30DoXe8/edit?usp=sharing"",""สตูล!J166"")"),0)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IFERROR(__xludf.DUMMYFUNCTION("IMPORTRANGE(""https://docs.google.com/spreadsheets/d/1IYY_tgx_IHuhSq3AJ5eI5OnqOPBNLWSHKh2a30DoXe8/edit?usp=sharing"",""สตูล!I169"")"),0)</f>
        <v>0</v>
      </c>
      <c r="J249" s="322">
        <f ca="1">IFERROR(__xludf.DUMMYFUNCTION("IMPORTRANGE(""https://docs.google.com/spreadsheets/d/1IYY_tgx_IHuhSq3AJ5eI5OnqOPBNLWSHKh2a30DoXe8/edit?usp=sharing"",""สตูล!J169"")"),0)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IFERROR(__xludf.DUMMYFUNCTION("IMPORTRANGE(""https://docs.google.com/spreadsheets/d/1Yj_ptqi66GCucihVvJfMjLAmec39IyEx_6qawtMGysU/edit?usp=sharing"",""สบก!CB93"")"),0)</f>
        <v>0</v>
      </c>
      <c r="N254" s="174">
        <f ca="1">IFERROR(__xludf.DUMMYFUNCTION("IMPORTRANGE(""https://docs.google.com/spreadsheets/d/1Yj_ptqi66GCucihVvJfMjLAmec39IyEx_6qawtMGysU/edit?usp=sharing"",""สบก!CC93"")"),0)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IFERROR(__xludf.DUMMYFUNCTION("IMPORTRANGE(""https://docs.google.com/spreadsheets/d/1Yj_ptqi66GCucihVvJfMjLAmec39IyEx_6qawtMGysU/edit?usp=sharing"",""สบก!BX93"")"),0)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IFERROR(__xludf.DUMMYFUNCTION("IMPORTRANGE(""https://docs.google.com/spreadsheets/d/1Yj_ptqi66GCucihVvJfMjLAmec39IyEx_6qawtMGysU/edit?usp=sharing"",""สบก!BY93"")"),0)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IFERROR(__xludf.DUMMYFUNCTION("IMPORTRANGE(""https://docs.google.com/spreadsheets/d/1Yj_ptqi66GCucihVvJfMjLAmec39IyEx_6qawtMGysU/edit?usp=sharing"",""สบก!BZ93"")"),0)</f>
        <v>0</v>
      </c>
      <c r="M258" s="101"/>
      <c r="N258" s="91">
        <f ca="1">IFERROR(__xludf.DUMMYFUNCTION("IMPORTRANGE(""https://docs.google.com/spreadsheets/d/1Yj_ptqi66GCucihVvJfMjLAmec39IyEx_6qawtMGysU/edit?usp=sharing"",""สบก!CD93"")"),0)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IFERROR(__xludf.DUMMYFUNCTION("IMPORTRANGE(""https://docs.google.com/spreadsheets/d/1IYY_tgx_IHuhSq3AJ5eI5OnqOPBNLWSHKh2a30DoXe8/edit?usp=sharing"",""สตูล!J175"")"),0)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IFERROR(__xludf.DUMMYFUNCTION("IMPORTRANGE(""https://docs.google.com/spreadsheets/d/1IYY_tgx_IHuhSq3AJ5eI5OnqOPBNLWSHKh2a30DoXe8/edit?usp=sharing"",""สตูล!J176"")"),0)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IFERROR(__xludf.DUMMYFUNCTION("IMPORTRANGE(""https://docs.google.com/spreadsheets/d/1IYY_tgx_IHuhSq3AJ5eI5OnqOPBNLWSHKh2a30DoXe8/edit?usp=sharing"",""สตูล!J177"")"),0)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IFERROR(__xludf.DUMMYFUNCTION("IMPORTRANGE(""https://docs.google.com/spreadsheets/d/1IYY_tgx_IHuhSq3AJ5eI5OnqOPBNLWSHKh2a30DoXe8/edit?usp=sharing"",""สตูล!J178"")"),0)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IFERROR(__xludf.DUMMYFUNCTION("IMPORTRANGE(""https://docs.google.com/spreadsheets/d/1IYY_tgx_IHuhSq3AJ5eI5OnqOPBNLWSHKh2a30DoXe8/edit?usp=sharing"",""สตูล!I179"")"),0)</f>
        <v>0</v>
      </c>
      <c r="J264" s="195">
        <f ca="1">IFERROR(__xludf.DUMMYFUNCTION("IMPORTRANGE(""https://docs.google.com/spreadsheets/d/1IYY_tgx_IHuhSq3AJ5eI5OnqOPBNLWSHKh2a30DoXe8/edit?usp=sharing"",""สตูล!J179"")"),0)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IFERROR(__xludf.DUMMYFUNCTION("IMPORTRANGE(""https://docs.google.com/spreadsheets/d/1IYY_tgx_IHuhSq3AJ5eI5OnqOPBNLWSHKh2a30DoXe8/edit?usp=sharing"",""สตูล!I180"")"),0)</f>
        <v>0</v>
      </c>
      <c r="J265" s="195">
        <f ca="1">IFERROR(__xludf.DUMMYFUNCTION("IMPORTRANGE(""https://docs.google.com/spreadsheets/d/1IYY_tgx_IHuhSq3AJ5eI5OnqOPBNLWSHKh2a30DoXe8/edit?usp=sharing"",""สตูล!J180"")"),0)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IFERROR(__xludf.DUMMYFUNCTION("IMPORTRANGE(""https://docs.google.com/spreadsheets/d/1IYY_tgx_IHuhSq3AJ5eI5OnqOPBNLWSHKh2a30DoXe8/edit?usp=sharing"",""สตูล!I181"")"),0)</f>
        <v>0</v>
      </c>
      <c r="J266" s="195">
        <f ca="1">IFERROR(__xludf.DUMMYFUNCTION("IMPORTRANGE(""https://docs.google.com/spreadsheets/d/1IYY_tgx_IHuhSq3AJ5eI5OnqOPBNLWSHKh2a30DoXe8/edit?usp=sharing"",""สตูล!J181"")"),0)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IFERROR(__xludf.DUMMYFUNCTION("IMPORTRANGE(""https://docs.google.com/spreadsheets/d/1IYY_tgx_IHuhSq3AJ5eI5OnqOPBNLWSHKh2a30DoXe8/edit?usp=sharing"",""สตูล!I182"")"),0)</f>
        <v>0</v>
      </c>
      <c r="J267" s="195">
        <f ca="1">IFERROR(__xludf.DUMMYFUNCTION("IMPORTRANGE(""https://docs.google.com/spreadsheets/d/1IYY_tgx_IHuhSq3AJ5eI5OnqOPBNLWSHKh2a30DoXe8/edit?usp=sharing"",""สตูล!J182"")"),0)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IFERROR(__xludf.DUMMYFUNCTION("IMPORTRANGE(""https://docs.google.com/spreadsheets/d/1IYY_tgx_IHuhSq3AJ5eI5OnqOPBNLWSHKh2a30DoXe8/edit?usp=sharing"",""สตูล!J183"")"),0)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IFERROR(__xludf.DUMMYFUNCTION("IMPORTRANGE(""https://docs.google.com/spreadsheets/d/1IYY_tgx_IHuhSq3AJ5eI5OnqOPBNLWSHKh2a30DoXe8/edit?usp=sharing"",""สตูล!J184"")"),0)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IFERROR(__xludf.DUMMYFUNCTION("IMPORTRANGE(""https://docs.google.com/spreadsheets/d/1IYY_tgx_IHuhSq3AJ5eI5OnqOPBNLWSHKh2a30DoXe8/edit?usp=sharing"",""สตูล!I185"")"),15)</f>
        <v>15</v>
      </c>
      <c r="J270" s="322">
        <f ca="1">IFERROR(__xludf.DUMMYFUNCTION("IMPORTRANGE(""https://docs.google.com/spreadsheets/d/1IYY_tgx_IHuhSq3AJ5eI5OnqOPBNLWSHKh2a30DoXe8/edit?usp=sharing"",""สตูล!J185"")"),15)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89998</v>
      </c>
      <c r="O271" s="155">
        <f t="shared" ref="O271:O273" ca="1" si="84">IF(L271&gt;0,N271*100/L271,0)</f>
        <v>48.075854700854698</v>
      </c>
      <c r="P271" s="155">
        <f t="shared" ref="P271:P273" ca="1" si="85">IF(M271&gt;0,N271*100/M271,0)</f>
        <v>68.569904761904766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89998</v>
      </c>
      <c r="O273" s="160">
        <f t="shared" ca="1" si="84"/>
        <v>48.075854700854698</v>
      </c>
      <c r="P273" s="160">
        <f t="shared" ca="1" si="85"/>
        <v>68.569904761904766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IFERROR(__xludf.DUMMYFUNCTION("IMPORTRANGE(""https://docs.google.com/spreadsheets/d/1Yj_ptqi66GCucihVvJfMjLAmec39IyEx_6qawtMGysU/edit?usp=sharing"",""สบก!CK93"")"),131250)</f>
        <v>131250</v>
      </c>
      <c r="N275" s="174">
        <f ca="1">IFERROR(__xludf.DUMMYFUNCTION("IMPORTRANGE(""https://docs.google.com/spreadsheets/d/1Yj_ptqi66GCucihVvJfMjLAmec39IyEx_6qawtMGysU/edit?usp=sharing"",""สบก!CL93"")"),89998)</f>
        <v>89998</v>
      </c>
      <c r="O275" s="175">
        <f ca="1">IF(L275&gt;0,N275*100/L275,0)</f>
        <v>48.075854700854698</v>
      </c>
      <c r="P275" s="175">
        <f ca="1">IF(M275&gt;0,N275*100/M275,0)</f>
        <v>68.569904761904766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IFERROR(__xludf.DUMMYFUNCTION("IMPORTRANGE(""https://docs.google.com/spreadsheets/d/1Yj_ptqi66GCucihVvJfMjLAmec39IyEx_6qawtMGysU/edit?usp=sharing"",""สบก!CG93"")"),132000)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IFERROR(__xludf.DUMMYFUNCTION("IMPORTRANGE(""https://docs.google.com/spreadsheets/d/1Yj_ptqi66GCucihVvJfMjLAmec39IyEx_6qawtMGysU/edit?usp=sharing"",""สบก!CH93"")"),55200)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IFERROR(__xludf.DUMMYFUNCTION("IMPORTRANGE(""https://docs.google.com/spreadsheets/d/1Yj_ptqi66GCucihVvJfMjLAmec39IyEx_6qawtMGysU/edit?usp=sharing"",""สบก!CI93"")"),0)</f>
        <v>0</v>
      </c>
      <c r="M279" s="101"/>
      <c r="N279" s="91">
        <f ca="1">IFERROR(__xludf.DUMMYFUNCTION("IMPORTRANGE(""https://docs.google.com/spreadsheets/d/1Yj_ptqi66GCucihVvJfMjLAmec39IyEx_6qawtMGysU/edit?usp=sharing"",""สบก!CM93"")"),0)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IFERROR(__xludf.DUMMYFUNCTION("IMPORTRANGE(""https://docs.google.com/spreadsheets/d/1IYY_tgx_IHuhSq3AJ5eI5OnqOPBNLWSHKh2a30DoXe8/edit?usp=sharing"",""สตูล!J191"")"),0)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IFERROR(__xludf.DUMMYFUNCTION("IMPORTRANGE(""https://docs.google.com/spreadsheets/d/1IYY_tgx_IHuhSq3AJ5eI5OnqOPBNLWSHKh2a30DoXe8/edit?usp=sharing"",""สตูล!J192"")"),1)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IFERROR(__xludf.DUMMYFUNCTION("IMPORTRANGE(""https://docs.google.com/spreadsheets/d/1IYY_tgx_IHuhSq3AJ5eI5OnqOPBNLWSHKh2a30DoXe8/edit?usp=sharing"",""สตูล!J193"")"),1)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IFERROR(__xludf.DUMMYFUNCTION("IMPORTRANGE(""https://docs.google.com/spreadsheets/d/1IYY_tgx_IHuhSq3AJ5eI5OnqOPBNLWSHKh2a30DoXe8/edit?usp=sharing"",""สตูล!J194"")"),1)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IFERROR(__xludf.DUMMYFUNCTION("IMPORTRANGE(""https://docs.google.com/spreadsheets/d/1IYY_tgx_IHuhSq3AJ5eI5OnqOPBNLWSHKh2a30DoXe8/edit?usp=sharing"",""สตูล!I195"")"),15)</f>
        <v>15</v>
      </c>
      <c r="J285" s="195">
        <f ca="1">IFERROR(__xludf.DUMMYFUNCTION("IMPORTRANGE(""https://docs.google.com/spreadsheets/d/1IYY_tgx_IHuhSq3AJ5eI5OnqOPBNLWSHKh2a30DoXe8/edit?usp=sharing"",""สตูล!J195"")"),15)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IFERROR(__xludf.DUMMYFUNCTION("IMPORTRANGE(""https://docs.google.com/spreadsheets/d/1IYY_tgx_IHuhSq3AJ5eI5OnqOPBNLWSHKh2a30DoXe8/edit?usp=sharing"",""สตูล!J196"")"),0)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IFERROR(__xludf.DUMMYFUNCTION("IMPORTRANGE(""https://docs.google.com/spreadsheets/d/1IYY_tgx_IHuhSq3AJ5eI5OnqOPBNLWSHKh2a30DoXe8/edit?usp=sharing"",""สตูล!J197"")"),0)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IFERROR(__xludf.DUMMYFUNCTION("IMPORTRANGE(""https://docs.google.com/spreadsheets/d/1IYY_tgx_IHuhSq3AJ5eI5OnqOPBNLWSHKh2a30DoXe8/edit?usp=sharing"",""สตูล!I199"")"),0)</f>
        <v>0</v>
      </c>
      <c r="J289" s="322">
        <f ca="1">IFERROR(__xludf.DUMMYFUNCTION("IMPORTRANGE(""https://docs.google.com/spreadsheets/d/1IYY_tgx_IHuhSq3AJ5eI5OnqOPBNLWSHKh2a30DoXe8/edit?usp=sharing"",""สตูล!J199"")"),0)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IFERROR(__xludf.DUMMYFUNCTION("IMPORTRANGE(""https://docs.google.com/spreadsheets/d/1Yj_ptqi66GCucihVvJfMjLAmec39IyEx_6qawtMGysU/edit?usp=sharing"",""สบก!CT93"")"),0)</f>
        <v>0</v>
      </c>
      <c r="N294" s="174">
        <f ca="1">IFERROR(__xludf.DUMMYFUNCTION("IMPORTRANGE(""https://docs.google.com/spreadsheets/d/1Yj_ptqi66GCucihVvJfMjLAmec39IyEx_6qawtMGysU/edit?usp=sharing"",""สบก!CU93"")"),0)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IFERROR(__xludf.DUMMYFUNCTION("IMPORTRANGE(""https://docs.google.com/spreadsheets/d/1Yj_ptqi66GCucihVvJfMjLAmec39IyEx_6qawtMGysU/edit?usp=sharing"",""สบก!CP93"")"),0)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IFERROR(__xludf.DUMMYFUNCTION("IMPORTRANGE(""https://docs.google.com/spreadsheets/d/1Yj_ptqi66GCucihVvJfMjLAmec39IyEx_6qawtMGysU/edit?usp=sharing"",""สบก!CQ93"")"),0)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IFERROR(__xludf.DUMMYFUNCTION("IMPORTRANGE(""https://docs.google.com/spreadsheets/d/1Yj_ptqi66GCucihVvJfMjLAmec39IyEx_6qawtMGysU/edit?usp=sharing"",""สบก!CR93"")"),0)</f>
        <v>0</v>
      </c>
      <c r="M298" s="101"/>
      <c r="N298" s="91">
        <f ca="1">IFERROR(__xludf.DUMMYFUNCTION("IMPORTRANGE(""https://docs.google.com/spreadsheets/d/1Yj_ptqi66GCucihVvJfMjLAmec39IyEx_6qawtMGysU/edit?usp=sharing"",""สบก!CV93"")"),0)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IFERROR(__xludf.DUMMYFUNCTION("IMPORTRANGE(""https://docs.google.com/spreadsheets/d/1IYY_tgx_IHuhSq3AJ5eI5OnqOPBNLWSHKh2a30DoXe8/edit?usp=sharing"",""สตูล!J205"")"),0)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IFERROR(__xludf.DUMMYFUNCTION("IMPORTRANGE(""https://docs.google.com/spreadsheets/d/1IYY_tgx_IHuhSq3AJ5eI5OnqOPBNLWSHKh2a30DoXe8/edit?usp=sharing"",""สตูล!J206"")"),0)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IFERROR(__xludf.DUMMYFUNCTION("IMPORTRANGE(""https://docs.google.com/spreadsheets/d/1IYY_tgx_IHuhSq3AJ5eI5OnqOPBNLWSHKh2a30DoXe8/edit?usp=sharing"",""สตูล!J207"")"),0)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IFERROR(__xludf.DUMMYFUNCTION("IMPORTRANGE(""https://docs.google.com/spreadsheets/d/1IYY_tgx_IHuhSq3AJ5eI5OnqOPBNLWSHKh2a30DoXe8/edit?usp=sharing"",""สตูล!J208"")"),0)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IFERROR(__xludf.DUMMYFUNCTION("IMPORTRANGE(""https://docs.google.com/spreadsheets/d/1IYY_tgx_IHuhSq3AJ5eI5OnqOPBNLWSHKh2a30DoXe8/edit?usp=sharing"",""สตูล!I209"")"),0)</f>
        <v>0</v>
      </c>
      <c r="J304" s="210">
        <f ca="1">IFERROR(__xludf.DUMMYFUNCTION("IMPORTRANGE(""https://docs.google.com/spreadsheets/d/1IYY_tgx_IHuhSq3AJ5eI5OnqOPBNLWSHKh2a30DoXe8/edit?usp=sharing"",""สตูล!J209"")"),0)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IFERROR(__xludf.DUMMYFUNCTION("IMPORTRANGE(""https://docs.google.com/spreadsheets/d/1IYY_tgx_IHuhSq3AJ5eI5OnqOPBNLWSHKh2a30DoXe8/edit?usp=sharing"",""สตูล!I211"")"),0)</f>
        <v>0</v>
      </c>
      <c r="J306" s="210">
        <f ca="1">IFERROR(__xludf.DUMMYFUNCTION("IMPORTRANGE(""https://docs.google.com/spreadsheets/d/1IYY_tgx_IHuhSq3AJ5eI5OnqOPBNLWSHKh2a30DoXe8/edit?usp=sharing"",""สตูล!J211"")"),0)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IFERROR(__xludf.DUMMYFUNCTION("IMPORTRANGE(""https://docs.google.com/spreadsheets/d/1IYY_tgx_IHuhSq3AJ5eI5OnqOPBNLWSHKh2a30DoXe8/edit?usp=sharing"",""สตูล!J212"")"),0)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IFERROR(__xludf.DUMMYFUNCTION("IMPORTRANGE(""https://docs.google.com/spreadsheets/d/1IYY_tgx_IHuhSq3AJ5eI5OnqOPBNLWSHKh2a30DoXe8/edit?usp=sharing"",""สตูล!J213"")"),0)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IFERROR(__xludf.DUMMYFUNCTION("IMPORTRANGE(""https://docs.google.com/spreadsheets/d/1IYY_tgx_IHuhSq3AJ5eI5OnqOPBNLWSHKh2a30DoXe8/edit?usp=sharing"",""สตูล!I214"")"),0)</f>
        <v>0</v>
      </c>
      <c r="J309" s="339">
        <f ca="1">IFERROR(__xludf.DUMMYFUNCTION("IMPORTRANGE(""https://docs.google.com/spreadsheets/d/1IYY_tgx_IHuhSq3AJ5eI5OnqOPBNLWSHKh2a30DoXe8/edit?usp=sharing"",""สตูล!J214"")"),0)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IFERROR(__xludf.DUMMYFUNCTION("IMPORTRANGE(""https://docs.google.com/spreadsheets/d/1Yj_ptqi66GCucihVvJfMjLAmec39IyEx_6qawtMGysU/edit?usp=sharing"",""สบก!DC93"")"),0)</f>
        <v>0</v>
      </c>
      <c r="N314" s="174">
        <f ca="1">IFERROR(__xludf.DUMMYFUNCTION("IMPORTRANGE(""https://docs.google.com/spreadsheets/d/1Yj_ptqi66GCucihVvJfMjLAmec39IyEx_6qawtMGysU/edit?usp=sharing"",""สบก!DD93"")"),0)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IFERROR(__xludf.DUMMYFUNCTION("IMPORTRANGE(""https://docs.google.com/spreadsheets/d/1Yj_ptqi66GCucihVvJfMjLAmec39IyEx_6qawtMGysU/edit?usp=sharing"",""สบก!CY93"")"),0)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IFERROR(__xludf.DUMMYFUNCTION("IMPORTRANGE(""https://docs.google.com/spreadsheets/d/1Yj_ptqi66GCucihVvJfMjLAmec39IyEx_6qawtMGysU/edit?usp=sharing"",""สบก!CZ93"")"),0)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IFERROR(__xludf.DUMMYFUNCTION("IMPORTRANGE(""https://docs.google.com/spreadsheets/d/1Yj_ptqi66GCucihVvJfMjLAmec39IyEx_6qawtMGysU/edit?usp=sharing"",""สบก!DA93"")"),0)</f>
        <v>0</v>
      </c>
      <c r="M318" s="101"/>
      <c r="N318" s="91">
        <f ca="1">IFERROR(__xludf.DUMMYFUNCTION("IMPORTRANGE(""https://docs.google.com/spreadsheets/d/1Yj_ptqi66GCucihVvJfMjLAmec39IyEx_6qawtMGysU/edit?usp=sharing"",""สบก!DE93"")"),0)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IFERROR(__xludf.DUMMYFUNCTION("IMPORTRANGE(""https://docs.google.com/spreadsheets/d/1IYY_tgx_IHuhSq3AJ5eI5OnqOPBNLWSHKh2a30DoXe8/edit?usp=sharing"",""สตูล!J220"")"),0)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IFERROR(__xludf.DUMMYFUNCTION("IMPORTRANGE(""https://docs.google.com/spreadsheets/d/1IYY_tgx_IHuhSq3AJ5eI5OnqOPBNLWSHKh2a30DoXe8/edit?usp=sharing"",""สตูล!J221"")"),0)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IFERROR(__xludf.DUMMYFUNCTION("IMPORTRANGE(""https://docs.google.com/spreadsheets/d/1IYY_tgx_IHuhSq3AJ5eI5OnqOPBNLWSHKh2a30DoXe8/edit?usp=sharing"",""สตูล!J222"")"),0)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IFERROR(__xludf.DUMMYFUNCTION("IMPORTRANGE(""https://docs.google.com/spreadsheets/d/1IYY_tgx_IHuhSq3AJ5eI5OnqOPBNLWSHKh2a30DoXe8/edit?usp=sharing"",""สตูล!J223"")"),0)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IFERROR(__xludf.DUMMYFUNCTION("IMPORTRANGE(""https://docs.google.com/spreadsheets/d/1IYY_tgx_IHuhSq3AJ5eI5OnqOPBNLWSHKh2a30DoXe8/edit?usp=sharing"",""สตูล!I224"")"),0)</f>
        <v>0</v>
      </c>
      <c r="J324" s="210">
        <f ca="1">IFERROR(__xludf.DUMMYFUNCTION("IMPORTRANGE(""https://docs.google.com/spreadsheets/d/1IYY_tgx_IHuhSq3AJ5eI5OnqOPBNLWSHKh2a30DoXe8/edit?usp=sharing"",""สตูล!J224"")"),0)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IFERROR(__xludf.DUMMYFUNCTION("IMPORTRANGE(""https://docs.google.com/spreadsheets/d/1IYY_tgx_IHuhSq3AJ5eI5OnqOPBNLWSHKh2a30DoXe8/edit?usp=sharing"",""สตูล!J225"")"),0)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IFERROR(__xludf.DUMMYFUNCTION("IMPORTRANGE(""https://docs.google.com/spreadsheets/d/1IYY_tgx_IHuhSq3AJ5eI5OnqOPBNLWSHKh2a30DoXe8/edit?usp=sharing"",""สตูล!J226"")"),0)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IFERROR(__xludf.DUMMYFUNCTION("IMPORTRANGE(""https://docs.google.com/spreadsheets/d/1IYY_tgx_IHuhSq3AJ5eI5OnqOPBNLWSHKh2a30DoXe8/edit?usp=sharing"",""สตูล!I228"")"),50)</f>
        <v>50</v>
      </c>
      <c r="J328" s="345">
        <f ca="1">IFERROR(__xludf.DUMMYFUNCTION("IMPORTRANGE(""https://docs.google.com/spreadsheets/d/1IYY_tgx_IHuhSq3AJ5eI5OnqOPBNLWSHKh2a30DoXe8/edit?usp=sharing"",""สตูล!J228"")"),65)</f>
        <v>65</v>
      </c>
      <c r="K328" s="323">
        <f ca="1">IF(I328&gt;0,J328*100/I328,0)</f>
        <v>130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926350</v>
      </c>
      <c r="M329" s="156">
        <f t="shared" ca="1" si="98"/>
        <v>728950</v>
      </c>
      <c r="N329" s="156">
        <f t="shared" ca="1" si="98"/>
        <v>585450.66999999993</v>
      </c>
      <c r="O329" s="155">
        <f t="shared" ref="O329:O331" ca="1" si="99">IF(L329&gt;0,N329*100/L329,0)</f>
        <v>63.199726885086619</v>
      </c>
      <c r="P329" s="155">
        <f t="shared" ref="P329:P331" ca="1" si="100">IF(M329&gt;0,N329*100/M329,0)</f>
        <v>80.314242403457015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926350</v>
      </c>
      <c r="M331" s="161">
        <f t="shared" ca="1" si="102"/>
        <v>728950</v>
      </c>
      <c r="N331" s="161">
        <f t="shared" ca="1" si="102"/>
        <v>585450.66999999993</v>
      </c>
      <c r="O331" s="160">
        <f t="shared" ca="1" si="99"/>
        <v>63.199726885086619</v>
      </c>
      <c r="P331" s="160">
        <f t="shared" ca="1" si="100"/>
        <v>80.314242403457015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757350</v>
      </c>
      <c r="M333" s="173">
        <f ca="1">IFERROR(__xludf.DUMMYFUNCTION("IMPORTRANGE(""https://docs.google.com/spreadsheets/d/1Yj_ptqi66GCucihVvJfMjLAmec39IyEx_6qawtMGysU/edit?usp=sharing"",""สบก!DL93"")"),559950)</f>
        <v>559950</v>
      </c>
      <c r="N333" s="174">
        <f ca="1">IFERROR(__xludf.DUMMYFUNCTION("IMPORTRANGE(""https://docs.google.com/spreadsheets/d/1Yj_ptqi66GCucihVvJfMjLAmec39IyEx_6qawtMGysU/edit?usp=sharing"",""สบก!DM93"")"),416450.67)</f>
        <v>416450.67</v>
      </c>
      <c r="O333" s="175">
        <f ca="1">IF(L333&gt;0,N333*100/L333,0)</f>
        <v>54.987874826698359</v>
      </c>
      <c r="P333" s="175">
        <f ca="1">IF(M333&gt;0,N333*100/M333,0)</f>
        <v>74.372831502812758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IFERROR(__xludf.DUMMYFUNCTION("IMPORTRANGE(""https://docs.google.com/spreadsheets/d/1Yj_ptqi66GCucihVvJfMjLAmec39IyEx_6qawtMGysU/edit?usp=sharing"",""สบก!DH93"")"),530800)</f>
        <v>530800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IFERROR(__xludf.DUMMYFUNCTION("IMPORTRANGE(""https://docs.google.com/spreadsheets/d/1Yj_ptqi66GCucihVvJfMjLAmec39IyEx_6qawtMGysU/edit?usp=sharing"",""สบก!DI93"")"),226550)</f>
        <v>226550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IFERROR(__xludf.DUMMYFUNCTION("IMPORTRANGE(""https://docs.google.com/spreadsheets/d/1Yj_ptqi66GCucihVvJfMjLAmec39IyEx_6qawtMGysU/edit?usp=sharing"",""สบก!DJ93"")"),169000)</f>
        <v>169000</v>
      </c>
      <c r="M337" s="101">
        <f ca="1">L337</f>
        <v>169000</v>
      </c>
      <c r="N337" s="91">
        <f ca="1">IFERROR(__xludf.DUMMYFUNCTION("IMPORTRANGE(""https://docs.google.com/spreadsheets/d/1Yj_ptqi66GCucihVvJfMjLAmec39IyEx_6qawtMGysU/edit?usp=sharing"",""สบก!DN93"")"),169000)</f>
        <v>169000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IFERROR(__xludf.DUMMYFUNCTION("IMPORTRANGE(""https://docs.google.com/spreadsheets/d/1IYY_tgx_IHuhSq3AJ5eI5OnqOPBNLWSHKh2a30DoXe8/edit?usp=sharing"",""สตูล!I234"")"),0)</f>
        <v>0</v>
      </c>
      <c r="J339" s="194">
        <f ca="1">IFERROR(__xludf.DUMMYFUNCTION("IMPORTRANGE(""https://docs.google.com/spreadsheets/d/1IYY_tgx_IHuhSq3AJ5eI5OnqOPBNLWSHKh2a30DoXe8/edit?usp=sharing"",""สตูล!J234"")"),65)</f>
        <v>65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IFERROR(__xludf.DUMMYFUNCTION("IMPORTRANGE(""https://docs.google.com/spreadsheets/d/1IYY_tgx_IHuhSq3AJ5eI5OnqOPBNLWSHKh2a30DoXe8/edit?usp=sharing"",""สตูล!I235"")"),480)</f>
        <v>480</v>
      </c>
      <c r="J340" s="194">
        <f ca="1">IFERROR(__xludf.DUMMYFUNCTION("IMPORTRANGE(""https://docs.google.com/spreadsheets/d/1IYY_tgx_IHuhSq3AJ5eI5OnqOPBNLWSHKh2a30DoXe8/edit?usp=sharing"",""สตูล!J235"")"),359.59)</f>
        <v>359.59</v>
      </c>
      <c r="K340" s="348">
        <f t="shared" ca="1" si="103"/>
        <v>74.91458333333334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IFERROR(__xludf.DUMMYFUNCTION("IMPORTRANGE(""https://docs.google.com/spreadsheets/d/1IYY_tgx_IHuhSq3AJ5eI5OnqOPBNLWSHKh2a30DoXe8/edit?usp=sharing"",""สตูล!I236"")"),50)</f>
        <v>50</v>
      </c>
      <c r="J341" s="194">
        <f ca="1">IFERROR(__xludf.DUMMYFUNCTION("IMPORTRANGE(""https://docs.google.com/spreadsheets/d/1IYY_tgx_IHuhSq3AJ5eI5OnqOPBNLWSHKh2a30DoXe8/edit?usp=sharing"",""สตูล!J236"")"),65)</f>
        <v>65</v>
      </c>
      <c r="K341" s="348">
        <f t="shared" ca="1" si="103"/>
        <v>130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IFERROR(__xludf.DUMMYFUNCTION("IMPORTRANGE(""https://docs.google.com/spreadsheets/d/1IYY_tgx_IHuhSq3AJ5eI5OnqOPBNLWSHKh2a30DoXe8/edit?usp=sharing"",""สตูล!I237"")"),0)</f>
        <v>0</v>
      </c>
      <c r="J342" s="194">
        <f ca="1">IFERROR(__xludf.DUMMYFUNCTION("IMPORTRANGE(""https://docs.google.com/spreadsheets/d/1IYY_tgx_IHuhSq3AJ5eI5OnqOPBNLWSHKh2a30DoXe8/edit?usp=sharing"",""สตูล!J237"")"),359.59)</f>
        <v>359.59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IFERROR(__xludf.DUMMYFUNCTION("IMPORTRANGE(""https://docs.google.com/spreadsheets/d/1IYY_tgx_IHuhSq3AJ5eI5OnqOPBNLWSHKh2a30DoXe8/edit?usp=sharing"",""สตูล!I238"")"),50)</f>
        <v>50</v>
      </c>
      <c r="J343" s="194">
        <f ca="1">IFERROR(__xludf.DUMMYFUNCTION("IMPORTRANGE(""https://docs.google.com/spreadsheets/d/1IYY_tgx_IHuhSq3AJ5eI5OnqOPBNLWSHKh2a30DoXe8/edit?usp=sharing"",""สตูล!J238"")"),42)</f>
        <v>42</v>
      </c>
      <c r="K343" s="348">
        <f t="shared" ca="1" si="103"/>
        <v>84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IFERROR(__xludf.DUMMYFUNCTION("IMPORTRANGE(""https://docs.google.com/spreadsheets/d/1IYY_tgx_IHuhSq3AJ5eI5OnqOPBNLWSHKh2a30DoXe8/edit?usp=sharing"",""สตูล!I239"")"),0)</f>
        <v>0</v>
      </c>
      <c r="J344" s="194">
        <f ca="1">IFERROR(__xludf.DUMMYFUNCTION("IMPORTRANGE(""https://docs.google.com/spreadsheets/d/1IYY_tgx_IHuhSq3AJ5eI5OnqOPBNLWSHKh2a30DoXe8/edit?usp=sharing"",""สตูล!J239"")"),227.59)</f>
        <v>227.59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IFERROR(__xludf.DUMMYFUNCTION("IMPORTRANGE(""https://docs.google.com/spreadsheets/d/1IYY_tgx_IHuhSq3AJ5eI5OnqOPBNLWSHKh2a30DoXe8/edit?usp=sharing"",""สตูล!I240"")"),50)</f>
        <v>50</v>
      </c>
      <c r="J345" s="194">
        <f ca="1">IFERROR(__xludf.DUMMYFUNCTION("IMPORTRANGE(""https://docs.google.com/spreadsheets/d/1IYY_tgx_IHuhSq3AJ5eI5OnqOPBNLWSHKh2a30DoXe8/edit?usp=sharing"",""สตูล!J240"")"),65)</f>
        <v>65</v>
      </c>
      <c r="K345" s="348">
        <f t="shared" ca="1" si="103"/>
        <v>130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IFERROR(__xludf.DUMMYFUNCTION("IMPORTRANGE(""https://docs.google.com/spreadsheets/d/1IYY_tgx_IHuhSq3AJ5eI5OnqOPBNLWSHKh2a30DoXe8/edit?usp=sharing"",""สตูล!I241"")"),0)</f>
        <v>0</v>
      </c>
      <c r="J346" s="194">
        <f ca="1">IFERROR(__xludf.DUMMYFUNCTION("IMPORTRANGE(""https://docs.google.com/spreadsheets/d/1IYY_tgx_IHuhSq3AJ5eI5OnqOPBNLWSHKh2a30DoXe8/edit?usp=sharing"",""สตูล!J241"")"),359.59)</f>
        <v>359.59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IFERROR(__xludf.DUMMYFUNCTION("IMPORTRANGE(""https://docs.google.com/spreadsheets/d/1IYY_tgx_IHuhSq3AJ5eI5OnqOPBNLWSHKh2a30DoXe8/edit?usp=sharing"",""สตูล!L242"")"),501176.1)</f>
        <v>501176.1</v>
      </c>
      <c r="M347" s="364"/>
      <c r="N347" s="364">
        <f ca="1">IFERROR(__xludf.DUMMYFUNCTION("IMPORTRANGE(""https://docs.google.com/spreadsheets/d/1IYY_tgx_IHuhSq3AJ5eI5OnqOPBNLWSHKh2a30DoXe8/edit?usp=sharing"",""สตูล!M242"")"),248156)</f>
        <v>248156</v>
      </c>
      <c r="O347" s="364">
        <f ca="1">+IF(L347&gt;0,N347*100/L347,0)</f>
        <v>49.514731448686405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IFERROR(__xludf.DUMMYFUNCTION("IMPORTRANGE(""https://docs.google.com/spreadsheets/d/1IYY_tgx_IHuhSq3AJ5eI5OnqOPBNLWSHKh2a30DoXe8/edit?usp=sharing"",""สตูล!I244"")"),0)</f>
        <v>0</v>
      </c>
      <c r="J349" s="377">
        <f ca="1">IFERROR(__xludf.DUMMYFUNCTION("IMPORTRANGE(""https://docs.google.com/spreadsheets/d/1IYY_tgx_IHuhSq3AJ5eI5OnqOPBNLWSHKh2a30DoXe8/edit?usp=sharing"",""สตูล!J244"")"),0)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IFERROR(__xludf.DUMMYFUNCTION("IMPORTRANGE(""https://docs.google.com/spreadsheets/d/1IYY_tgx_IHuhSq3AJ5eI5OnqOPBNLWSHKh2a30DoXe8/edit?usp=sharing"",""สตูล!L244"")"),0)</f>
        <v>0</v>
      </c>
      <c r="M349" s="379"/>
      <c r="N349" s="379">
        <f ca="1">IFERROR(__xludf.DUMMYFUNCTION("IMPORTRANGE(""https://docs.google.com/spreadsheets/d/1IYY_tgx_IHuhSq3AJ5eI5OnqOPBNLWSHKh2a30DoXe8/edit?usp=sharing"",""สตูล!M244"")"),0)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IFERROR(__xludf.DUMMYFUNCTION("IMPORTRANGE(""https://docs.google.com/spreadsheets/d/1IYY_tgx_IHuhSq3AJ5eI5OnqOPBNLWSHKh2a30DoXe8/edit?usp=sharing"",""สตูล!I245"")"),0)</f>
        <v>0</v>
      </c>
      <c r="J350" s="377">
        <f ca="1">IFERROR(__xludf.DUMMYFUNCTION("IMPORTRANGE(""https://docs.google.com/spreadsheets/d/1IYY_tgx_IHuhSq3AJ5eI5OnqOPBNLWSHKh2a30DoXe8/edit?usp=sharing"",""สตูล!J245"")"),0)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IFERROR(__xludf.DUMMYFUNCTION("IMPORTRANGE(""https://docs.google.com/spreadsheets/d/1IYY_tgx_IHuhSq3AJ5eI5OnqOPBNLWSHKh2a30DoXe8/edit?usp=sharing"",""สตูล!L246"")"),0)</f>
        <v>0</v>
      </c>
      <c r="M351" s="168"/>
      <c r="N351" s="168">
        <f ca="1">IFERROR(__xludf.DUMMYFUNCTION("IMPORTRANGE(""https://docs.google.com/spreadsheets/d/1IYY_tgx_IHuhSq3AJ5eI5OnqOPBNLWSHKh2a30DoXe8/edit?usp=sharing"",""สตูล!M246"")"),0)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IFERROR(__xludf.DUMMYFUNCTION("IMPORTRANGE(""https://docs.google.com/spreadsheets/d/1IYY_tgx_IHuhSq3AJ5eI5OnqOPBNLWSHKh2a30DoXe8/edit?usp=sharing"",""สตูล!L247"")"),0)</f>
        <v>0</v>
      </c>
      <c r="M352" s="169"/>
      <c r="N352" s="168">
        <f ca="1">IFERROR(__xludf.DUMMYFUNCTION("IMPORTRANGE(""https://docs.google.com/spreadsheets/d/1IYY_tgx_IHuhSq3AJ5eI5OnqOPBNLWSHKh2a30DoXe8/edit?usp=sharing"",""สตูล!M247"")"),0)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IFERROR(__xludf.DUMMYFUNCTION("IMPORTRANGE(""https://docs.google.com/spreadsheets/d/1IYY_tgx_IHuhSq3AJ5eI5OnqOPBNLWSHKh2a30DoXe8/edit?usp=sharing"",""สตูล!L248"")"),0)</f>
        <v>0</v>
      </c>
      <c r="M353" s="175"/>
      <c r="N353" s="175">
        <f ca="1">IFERROR(__xludf.DUMMYFUNCTION("IMPORTRANGE(""https://docs.google.com/spreadsheets/d/1IYY_tgx_IHuhSq3AJ5eI5OnqOPBNLWSHKh2a30DoXe8/edit?usp=sharing"",""สตูล!M248"")"),0)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IFERROR(__xludf.DUMMYFUNCTION("IMPORTRANGE(""https://docs.google.com/spreadsheets/d/1IYY_tgx_IHuhSq3AJ5eI5OnqOPBNLWSHKh2a30DoXe8/edit?usp=sharing"",""สตูล!L249"")"),0)</f>
        <v>0</v>
      </c>
      <c r="M354" s="175"/>
      <c r="N354" s="172">
        <f ca="1">IFERROR(__xludf.DUMMYFUNCTION("IMPORTRANGE(""https://docs.google.com/spreadsheets/d/1IYY_tgx_IHuhSq3AJ5eI5OnqOPBNLWSHKh2a30DoXe8/edit?usp=sharing"",""สตูล!M249"")"),0)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IFERROR(__xludf.DUMMYFUNCTION("IMPORTRANGE(""https://docs.google.com/spreadsheets/d/1IYY_tgx_IHuhSq3AJ5eI5OnqOPBNLWSHKh2a30DoXe8/edit?usp=sharing"",""สตูล!M250"")"),0)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IFERROR(__xludf.DUMMYFUNCTION("IMPORTRANGE(""https://docs.google.com/spreadsheets/d/1IYY_tgx_IHuhSq3AJ5eI5OnqOPBNLWSHKh2a30DoXe8/edit?usp=sharing"",""สตูล!M251"")"),0)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IFERROR(__xludf.DUMMYFUNCTION("IMPORTRANGE(""https://docs.google.com/spreadsheets/d/1IYY_tgx_IHuhSq3AJ5eI5OnqOPBNLWSHKh2a30DoXe8/edit?usp=sharing"",""สตูล!M252"")"),0)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IFERROR(__xludf.DUMMYFUNCTION("IMPORTRANGE(""https://docs.google.com/spreadsheets/d/1IYY_tgx_IHuhSq3AJ5eI5OnqOPBNLWSHKh2a30DoXe8/edit?usp=sharing"",""สตูล!M253"")"),0)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IFERROR(__xludf.DUMMYFUNCTION("IMPORTRANGE(""https://docs.google.com/spreadsheets/d/1IYY_tgx_IHuhSq3AJ5eI5OnqOPBNLWSHKh2a30DoXe8/edit?usp=sharing"",""สตูล!J255"")"),0)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IFERROR(__xludf.DUMMYFUNCTION("IMPORTRANGE(""https://docs.google.com/spreadsheets/d/1IYY_tgx_IHuhSq3AJ5eI5OnqOPBNLWSHKh2a30DoXe8/edit?usp=sharing"",""สตูล!J256"")"),0)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IFERROR(__xludf.DUMMYFUNCTION("IMPORTRANGE(""https://docs.google.com/spreadsheets/d/1IYY_tgx_IHuhSq3AJ5eI5OnqOPBNLWSHKh2a30DoXe8/edit?usp=sharing"",""สตูล!J257"")"),0)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IFERROR(__xludf.DUMMYFUNCTION("IMPORTRANGE(""https://docs.google.com/spreadsheets/d/1IYY_tgx_IHuhSq3AJ5eI5OnqOPBNLWSHKh2a30DoXe8/edit?usp=sharing"",""สตูล!J258"")"),0)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IFERROR(__xludf.DUMMYFUNCTION("IMPORTRANGE(""https://docs.google.com/spreadsheets/d/1IYY_tgx_IHuhSq3AJ5eI5OnqOPBNLWSHKh2a30DoXe8/edit?usp=sharing"",""สตูล!J166"")"),0)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IFERROR(__xludf.DUMMYFUNCTION("IMPORTRANGE(""https://docs.google.com/spreadsheets/d/1IYY_tgx_IHuhSq3AJ5eI5OnqOPBNLWSHKh2a30DoXe8/edit?usp=sharing"",""สตูล!J166"")"),0)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IFERROR(__xludf.DUMMYFUNCTION("IMPORTRANGE(""https://docs.google.com/spreadsheets/d/1IYY_tgx_IHuhSq3AJ5eI5OnqOPBNLWSHKh2a30DoXe8/edit?usp=sharing"",""สตูล!J166"")"),0)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IFERROR(__xludf.DUMMYFUNCTION("IMPORTRANGE(""https://docs.google.com/spreadsheets/d/1IYY_tgx_IHuhSq3AJ5eI5OnqOPBNLWSHKh2a30DoXe8/edit?usp=sharing"",""สตูล!J166"")"),0)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IFERROR(__xludf.DUMMYFUNCTION("IMPORTRANGE(""https://docs.google.com/spreadsheets/d/1IYY_tgx_IHuhSq3AJ5eI5OnqOPBNLWSHKh2a30DoXe8/edit?usp=sharing"",""สตูล!I263"")"),0)</f>
        <v>0</v>
      </c>
      <c r="J368" s="194">
        <f ca="1">IFERROR(__xludf.DUMMYFUNCTION("IMPORTRANGE(""https://docs.google.com/spreadsheets/d/1IYY_tgx_IHuhSq3AJ5eI5OnqOPBNLWSHKh2a30DoXe8/edit?usp=sharing"",""สตูล!J263"")"),0)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IFERROR(__xludf.DUMMYFUNCTION("IMPORTRANGE(""https://docs.google.com/spreadsheets/d/1IYY_tgx_IHuhSq3AJ5eI5OnqOPBNLWSHKh2a30DoXe8/edit?usp=sharing"",""สตูล!I164"")"),0)</f>
        <v>0</v>
      </c>
      <c r="J369" s="210">
        <f ca="1">IFERROR(__xludf.DUMMYFUNCTION("IMPORTRANGE(""https://docs.google.com/spreadsheets/d/1IYY_tgx_IHuhSq3AJ5eI5OnqOPBNLWSHKh2a30DoXe8/edit?usp=sharing"",""สตูล!J164"")"),0)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IFERROR(__xludf.DUMMYFUNCTION("IMPORTRANGE(""https://docs.google.com/spreadsheets/d/1IYY_tgx_IHuhSq3AJ5eI5OnqOPBNLWSHKh2a30DoXe8/edit?usp=sharing"",""สตูล!I265"")"),0)</f>
        <v>0</v>
      </c>
      <c r="J370" s="210">
        <f ca="1">IFERROR(__xludf.DUMMYFUNCTION("IMPORTRANGE(""https://docs.google.com/spreadsheets/d/1IYY_tgx_IHuhSq3AJ5eI5OnqOPBNLWSHKh2a30DoXe8/edit?usp=sharing"",""สตูล!J265"")"),0)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IFERROR(__xludf.DUMMYFUNCTION("IMPORTRANGE(""https://docs.google.com/spreadsheets/d/1IYY_tgx_IHuhSq3AJ5eI5OnqOPBNLWSHKh2a30DoXe8/edit?usp=sharing"",""สตูล!I164"")"),0)</f>
        <v>0</v>
      </c>
      <c r="J371" s="195">
        <f ca="1">IFERROR(__xludf.DUMMYFUNCTION("IMPORTRANGE(""https://docs.google.com/spreadsheets/d/1IYY_tgx_IHuhSq3AJ5eI5OnqOPBNLWSHKh2a30DoXe8/edit?usp=sharing"",""สตูล!J164"")"),0)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IFERROR(__xludf.DUMMYFUNCTION("IMPORTRANGE(""https://docs.google.com/spreadsheets/d/1IYY_tgx_IHuhSq3AJ5eI5OnqOPBNLWSHKh2a30DoXe8/edit?usp=sharing"",""สตูล!I267"")"),0)</f>
        <v>0</v>
      </c>
      <c r="J372" s="195">
        <f ca="1">IFERROR(__xludf.DUMMYFUNCTION("IMPORTRANGE(""https://docs.google.com/spreadsheets/d/1IYY_tgx_IHuhSq3AJ5eI5OnqOPBNLWSHKh2a30DoXe8/edit?usp=sharing"",""สตูล!J267"")"),0)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IFERROR(__xludf.DUMMYFUNCTION("IMPORTRANGE(""https://docs.google.com/spreadsheets/d/1IYY_tgx_IHuhSq3AJ5eI5OnqOPBNLWSHKh2a30DoXe8/edit?usp=sharing"",""สตูล!I164"")"),0)</f>
        <v>0</v>
      </c>
      <c r="J373" s="210">
        <f ca="1">IFERROR(__xludf.DUMMYFUNCTION("IMPORTRANGE(""https://docs.google.com/spreadsheets/d/1IYY_tgx_IHuhSq3AJ5eI5OnqOPBNLWSHKh2a30DoXe8/edit?usp=sharing"",""สตูล!J164"")"),0)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IFERROR(__xludf.DUMMYFUNCTION("IMPORTRANGE(""https://docs.google.com/spreadsheets/d/1IYY_tgx_IHuhSq3AJ5eI5OnqOPBNLWSHKh2a30DoXe8/edit?usp=sharing"",""สตูล!I164"")"),0)</f>
        <v>0</v>
      </c>
      <c r="J374" s="194">
        <f ca="1">IFERROR(__xludf.DUMMYFUNCTION("IMPORTRANGE(""https://docs.google.com/spreadsheets/d/1IYY_tgx_IHuhSq3AJ5eI5OnqOPBNLWSHKh2a30DoXe8/edit?usp=sharing"",""สตูล!J164"")"),0)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IFERROR(__xludf.DUMMYFUNCTION("IMPORTRANGE(""https://docs.google.com/spreadsheets/d/1IYY_tgx_IHuhSq3AJ5eI5OnqOPBNLWSHKh2a30DoXe8/edit?usp=sharing"",""สตูล!I270"")"),0)</f>
        <v>0</v>
      </c>
      <c r="J375" s="194">
        <f ca="1">IFERROR(__xludf.DUMMYFUNCTION("IMPORTRANGE(""https://docs.google.com/spreadsheets/d/1IYY_tgx_IHuhSq3AJ5eI5OnqOPBNLWSHKh2a30DoXe8/edit?usp=sharing"",""สตูล!J270"")"),0)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IFERROR(__xludf.DUMMYFUNCTION("IMPORTRANGE(""https://docs.google.com/spreadsheets/d/1IYY_tgx_IHuhSq3AJ5eI5OnqOPBNLWSHKh2a30DoXe8/edit?usp=sharing"",""สตูล!I271"")"),0)</f>
        <v>0</v>
      </c>
      <c r="J376" s="195">
        <f ca="1">IFERROR(__xludf.DUMMYFUNCTION("IMPORTRANGE(""https://docs.google.com/spreadsheets/d/1IYY_tgx_IHuhSq3AJ5eI5OnqOPBNLWSHKh2a30DoXe8/edit?usp=sharing"",""สตูล!J271"")"),0)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IFERROR(__xludf.DUMMYFUNCTION("IMPORTRANGE(""https://docs.google.com/spreadsheets/d/1IYY_tgx_IHuhSq3AJ5eI5OnqOPBNLWSHKh2a30DoXe8/edit?usp=sharing"",""สตูล!I272"")"),0)</f>
        <v>0</v>
      </c>
      <c r="J377" s="210">
        <f ca="1">IFERROR(__xludf.DUMMYFUNCTION("IMPORTRANGE(""https://docs.google.com/spreadsheets/d/1IYY_tgx_IHuhSq3AJ5eI5OnqOPBNLWSHKh2a30DoXe8/edit?usp=sharing"",""สตูล!J272"")"),0)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IFERROR(__xludf.DUMMYFUNCTION("IMPORTRANGE(""https://docs.google.com/spreadsheets/d/1IYY_tgx_IHuhSq3AJ5eI5OnqOPBNLWSHKh2a30DoXe8/edit?usp=sharing"",""สตูล!J273"")"),0)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IFERROR(__xludf.DUMMYFUNCTION("IMPORTRANGE(""https://docs.google.com/spreadsheets/d/1IYY_tgx_IHuhSq3AJ5eI5OnqOPBNLWSHKh2a30DoXe8/edit?usp=sharing"",""สตูล!J274"")"),0)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IFERROR(__xludf.DUMMYFUNCTION("IMPORTRANGE(""https://docs.google.com/spreadsheets/d/1IYY_tgx_IHuhSq3AJ5eI5OnqOPBNLWSHKh2a30DoXe8/edit?usp=sharing"",""สตูล!I275"")"),50)</f>
        <v>50</v>
      </c>
      <c r="J380" s="377">
        <f ca="1">IFERROR(__xludf.DUMMYFUNCTION("IMPORTRANGE(""https://docs.google.com/spreadsheets/d/1IYY_tgx_IHuhSq3AJ5eI5OnqOPBNLWSHKh2a30DoXe8/edit?usp=sharing"",""สตูล!J275"")"),0)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IFERROR(__xludf.DUMMYFUNCTION("IMPORTRANGE(""https://docs.google.com/spreadsheets/d/1IYY_tgx_IHuhSq3AJ5eI5OnqOPBNLWSHKh2a30DoXe8/edit?usp=sharing"",""สตูล!L275"")"),87710)</f>
        <v>87710</v>
      </c>
      <c r="M380" s="379"/>
      <c r="N380" s="379">
        <f ca="1">IFERROR(__xludf.DUMMYFUNCTION("IMPORTRANGE(""https://docs.google.com/spreadsheets/d/1IYY_tgx_IHuhSq3AJ5eI5OnqOPBNLWSHKh2a30DoXe8/edit?usp=sharing"",""สตูล!M275"")"),40270)</f>
        <v>40270</v>
      </c>
      <c r="O380" s="379">
        <f ca="1">+IF(L380&gt;0,N380*100/L380,0)</f>
        <v>45.912666742674723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IFERROR(__xludf.DUMMYFUNCTION("IMPORTRANGE(""https://docs.google.com/spreadsheets/d/1IYY_tgx_IHuhSq3AJ5eI5OnqOPBNLWSHKh2a30DoXe8/edit?usp=sharing"",""สตูล!I276"")"),5)</f>
        <v>5</v>
      </c>
      <c r="J381" s="377">
        <f ca="1">IFERROR(__xludf.DUMMYFUNCTION("IMPORTRANGE(""https://docs.google.com/spreadsheets/d/1IYY_tgx_IHuhSq3AJ5eI5OnqOPBNLWSHKh2a30DoXe8/edit?usp=sharing"",""สตูล!J276"")"),10)</f>
        <v>10</v>
      </c>
      <c r="K381" s="378">
        <f t="shared" ca="1" si="108"/>
        <v>200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IFERROR(__xludf.DUMMYFUNCTION("IMPORTRANGE(""https://docs.google.com/spreadsheets/d/1IYY_tgx_IHuhSq3AJ5eI5OnqOPBNLWSHKh2a30DoXe8/edit?usp=sharing"",""สตูล!L277"")"),0)</f>
        <v>0</v>
      </c>
      <c r="M382" s="168"/>
      <c r="N382" s="168">
        <f ca="1">IFERROR(__xludf.DUMMYFUNCTION("IMPORTRANGE(""https://docs.google.com/spreadsheets/d/1IYY_tgx_IHuhSq3AJ5eI5OnqOPBNLWSHKh2a30DoXe8/edit?usp=sharing"",""สตูล!M277"")"),0)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IFERROR(__xludf.DUMMYFUNCTION("IMPORTRANGE(""https://docs.google.com/spreadsheets/d/1IYY_tgx_IHuhSq3AJ5eI5OnqOPBNLWSHKh2a30DoXe8/edit?usp=sharing"",""สตูล!L278"")"),87710)</f>
        <v>87710</v>
      </c>
      <c r="M383" s="169"/>
      <c r="N383" s="169">
        <f ca="1">IFERROR(__xludf.DUMMYFUNCTION("IMPORTRANGE(""https://docs.google.com/spreadsheets/d/1IYY_tgx_IHuhSq3AJ5eI5OnqOPBNLWSHKh2a30DoXe8/edit?usp=sharing"",""สตูล!M278"")"),40270)</f>
        <v>40270</v>
      </c>
      <c r="O383" s="169">
        <f t="shared" ca="1" si="109"/>
        <v>45.912666742674723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IFERROR(__xludf.DUMMYFUNCTION("IMPORTRANGE(""https://docs.google.com/spreadsheets/d/1IYY_tgx_IHuhSq3AJ5eI5OnqOPBNLWSHKh2a30DoXe8/edit?usp=sharing"",""สตูล!L279"")"),0)</f>
        <v>0</v>
      </c>
      <c r="M384" s="175"/>
      <c r="N384" s="175">
        <f ca="1">IFERROR(__xludf.DUMMYFUNCTION("IMPORTRANGE(""https://docs.google.com/spreadsheets/d/1IYY_tgx_IHuhSq3AJ5eI5OnqOPBNLWSHKh2a30DoXe8/edit?usp=sharing"",""สตูล!M279"")"),0)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IFERROR(__xludf.DUMMYFUNCTION("IMPORTRANGE(""https://docs.google.com/spreadsheets/d/1IYY_tgx_IHuhSq3AJ5eI5OnqOPBNLWSHKh2a30DoXe8/edit?usp=sharing"",""สตูล!L280"")"),87710)</f>
        <v>87710</v>
      </c>
      <c r="M385" s="175"/>
      <c r="N385" s="172">
        <f ca="1">IFERROR(__xludf.DUMMYFUNCTION("IMPORTRANGE(""https://docs.google.com/spreadsheets/d/1IYY_tgx_IHuhSq3AJ5eI5OnqOPBNLWSHKh2a30DoXe8/edit?usp=sharing"",""สตูล!M280"")"),40270)</f>
        <v>40270</v>
      </c>
      <c r="O385" s="175">
        <f t="shared" ca="1" si="109"/>
        <v>45.912666742674723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IFERROR(__xludf.DUMMYFUNCTION("IMPORTRANGE(""https://docs.google.com/spreadsheets/d/1IYY_tgx_IHuhSq3AJ5eI5OnqOPBNLWSHKh2a30DoXe8/edit?usp=sharing"",""สตูล!M281"")"),40270)</f>
        <v>40270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IFERROR(__xludf.DUMMYFUNCTION("IMPORTRANGE(""https://docs.google.com/spreadsheets/d/1IYY_tgx_IHuhSq3AJ5eI5OnqOPBNLWSHKh2a30DoXe8/edit?usp=sharing"",""สตูล!M282"")"),0)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IFERROR(__xludf.DUMMYFUNCTION("IMPORTRANGE(""https://docs.google.com/spreadsheets/d/1IYY_tgx_IHuhSq3AJ5eI5OnqOPBNLWSHKh2a30DoXe8/edit?usp=sharing"",""สตูล!M283"")"),0)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IFERROR(__xludf.DUMMYFUNCTION("IMPORTRANGE(""https://docs.google.com/spreadsheets/d/1IYY_tgx_IHuhSq3AJ5eI5OnqOPBNLWSHKh2a30DoXe8/edit?usp=sharing"",""สตูล!M284"")"),0)</f>
        <v>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IFERROR(__xludf.DUMMYFUNCTION("IMPORTRANGE(""https://docs.google.com/spreadsheets/d/1IYY_tgx_IHuhSq3AJ5eI5OnqOPBNLWSHKh2a30DoXe8/edit?usp=sharing"",""สตูล!J286"")"),0)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IFERROR(__xludf.DUMMYFUNCTION("IMPORTRANGE(""https://docs.google.com/spreadsheets/d/1IYY_tgx_IHuhSq3AJ5eI5OnqOPBNLWSHKh2a30DoXe8/edit?usp=sharing"",""สตูล!J287"")"),1)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IFERROR(__xludf.DUMMYFUNCTION("IMPORTRANGE(""https://docs.google.com/spreadsheets/d/1IYY_tgx_IHuhSq3AJ5eI5OnqOPBNLWSHKh2a30DoXe8/edit?usp=sharing"",""สตูล!J288"")"),1)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IFERROR(__xludf.DUMMYFUNCTION("IMPORTRANGE(""https://docs.google.com/spreadsheets/d/1IYY_tgx_IHuhSq3AJ5eI5OnqOPBNLWSHKh2a30DoXe8/edit?usp=sharing"",""สตูล!J289"")"),1)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IFERROR(__xludf.DUMMYFUNCTION("IMPORTRANGE(""https://docs.google.com/spreadsheets/d/1IYY_tgx_IHuhSq3AJ5eI5OnqOPBNLWSHKh2a30DoXe8/edit?usp=sharing"",""สตูล!I291"")"),5)</f>
        <v>5</v>
      </c>
      <c r="J396" s="204">
        <f ca="1">IFERROR(__xludf.DUMMYFUNCTION("IMPORTRANGE(""https://docs.google.com/spreadsheets/d/1IYY_tgx_IHuhSq3AJ5eI5OnqOPBNLWSHKh2a30DoXe8/edit?usp=sharing"",""สตูล!J291"")"),10)</f>
        <v>10</v>
      </c>
      <c r="K396" s="167">
        <f t="shared" ref="K396:K398" ca="1" si="110">IF(I396&gt;0,J396*100/I396,0)</f>
        <v>200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IFERROR(__xludf.DUMMYFUNCTION("IMPORTRANGE(""https://docs.google.com/spreadsheets/d/1IYY_tgx_IHuhSq3AJ5eI5OnqOPBNLWSHKh2a30DoXe8/edit?usp=sharing"",""สตูล!I292"")"),50)</f>
        <v>50</v>
      </c>
      <c r="J397" s="204">
        <f ca="1">IFERROR(__xludf.DUMMYFUNCTION("IMPORTRANGE(""https://docs.google.com/spreadsheets/d/1IYY_tgx_IHuhSq3AJ5eI5OnqOPBNLWSHKh2a30DoXe8/edit?usp=sharing"",""สตูล!J292"")"),0)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IFERROR(__xludf.DUMMYFUNCTION("IMPORTRANGE(""https://docs.google.com/spreadsheets/d/1IYY_tgx_IHuhSq3AJ5eI5OnqOPBNLWSHKh2a30DoXe8/edit?usp=sharing"",""สตูล!I293"")"),5)</f>
        <v>5</v>
      </c>
      <c r="J398" s="204">
        <f ca="1">IFERROR(__xludf.DUMMYFUNCTION("IMPORTRANGE(""https://docs.google.com/spreadsheets/d/1IYY_tgx_IHuhSq3AJ5eI5OnqOPBNLWSHKh2a30DoXe8/edit?usp=sharing"",""สตูล!J293"")"),0)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IFERROR(__xludf.DUMMYFUNCTION("IMPORTRANGE(""https://docs.google.com/spreadsheets/d/1IYY_tgx_IHuhSq3AJ5eI5OnqOPBNLWSHKh2a30DoXe8/edit?usp=sharing"",""สตูล!J294"")"),0)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IFERROR(__xludf.DUMMYFUNCTION("IMPORTRANGE(""https://docs.google.com/spreadsheets/d/1IYY_tgx_IHuhSq3AJ5eI5OnqOPBNLWSHKh2a30DoXe8/edit?usp=sharing"",""สตูล!J295"")"),0)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IFERROR(__xludf.DUMMYFUNCTION("IMPORTRANGE(""https://docs.google.com/spreadsheets/d/1IYY_tgx_IHuhSq3AJ5eI5OnqOPBNLWSHKh2a30DoXe8/edit?usp=sharing"",""สตูล!I296"")"),75)</f>
        <v>75</v>
      </c>
      <c r="J401" s="377">
        <f ca="1">IFERROR(__xludf.DUMMYFUNCTION("IMPORTRANGE(""https://docs.google.com/spreadsheets/d/1IYY_tgx_IHuhSq3AJ5eI5OnqOPBNLWSHKh2a30DoXe8/edit?usp=sharing"",""สตูล!J296"")"),75)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IFERROR(__xludf.DUMMYFUNCTION("IMPORTRANGE(""https://docs.google.com/spreadsheets/d/1IYY_tgx_IHuhSq3AJ5eI5OnqOPBNLWSHKh2a30DoXe8/edit?usp=sharing"",""สตูล!L296"")"),81620)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IFERROR(__xludf.DUMMYFUNCTION("IMPORTRANGE(""https://docs.google.com/spreadsheets/d/1IYY_tgx_IHuhSq3AJ5eI5OnqOPBNLWSHKh2a30DoXe8/edit?usp=sharing"",""สตูล!M296"")"),45792)</f>
        <v>45792</v>
      </c>
      <c r="O401" s="379">
        <f ca="1">+IF(L401&gt;0,N401*100/L401,0)</f>
        <v>56.103896103896105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IFERROR(__xludf.DUMMYFUNCTION("IMPORTRANGE(""https://docs.google.com/spreadsheets/d/1IYY_tgx_IHuhSq3AJ5eI5OnqOPBNLWSHKh2a30DoXe8/edit?usp=sharing"",""สตูล!I297"")"),25)</f>
        <v>25</v>
      </c>
      <c r="J402" s="377">
        <f ca="1">IFERROR(__xludf.DUMMYFUNCTION("IMPORTRANGE(""https://docs.google.com/spreadsheets/d/1IYY_tgx_IHuhSq3AJ5eI5OnqOPBNLWSHKh2a30DoXe8/edit?usp=sharing"",""สตูล!J297"")"),25)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IFERROR(__xludf.DUMMYFUNCTION("IMPORTRANGE(""https://docs.google.com/spreadsheets/d/1IYY_tgx_IHuhSq3AJ5eI5OnqOPBNLWSHKh2a30DoXe8/edit?usp=sharing"",""สตูล!L298"")"),0)</f>
        <v>0</v>
      </c>
      <c r="M403" s="168"/>
      <c r="N403" s="175">
        <f ca="1">IFERROR(__xludf.DUMMYFUNCTION("IMPORTRANGE(""https://docs.google.com/spreadsheets/d/1IYY_tgx_IHuhSq3AJ5eI5OnqOPBNLWSHKh2a30DoXe8/edit?usp=sharing"",""สตูล!M298"")"),0)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IFERROR(__xludf.DUMMYFUNCTION("IMPORTRANGE(""https://docs.google.com/spreadsheets/d/1IYY_tgx_IHuhSq3AJ5eI5OnqOPBNLWSHKh2a30DoXe8/edit?usp=sharing"",""สตูล!L299"")"),81620)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IFERROR(__xludf.DUMMYFUNCTION("IMPORTRANGE(""https://docs.google.com/spreadsheets/d/1IYY_tgx_IHuhSq3AJ5eI5OnqOPBNLWSHKh2a30DoXe8/edit?usp=sharing"",""สตูล!M299"")"),45792)</f>
        <v>45792</v>
      </c>
      <c r="O404" s="175">
        <f t="shared" ca="1" si="112"/>
        <v>56.103896103896105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IFERROR(__xludf.DUMMYFUNCTION("IMPORTRANGE(""https://docs.google.com/spreadsheets/d/1IYY_tgx_IHuhSq3AJ5eI5OnqOPBNLWSHKh2a30DoXe8/edit?usp=sharing"",""สตูล!L300"")"),0)</f>
        <v>0</v>
      </c>
      <c r="M405" s="175"/>
      <c r="N405" s="175">
        <f ca="1">IFERROR(__xludf.DUMMYFUNCTION("IMPORTRANGE(""https://docs.google.com/spreadsheets/d/1IYY_tgx_IHuhSq3AJ5eI5OnqOPBNLWSHKh2a30DoXe8/edit?usp=sharing"",""สตูล!M300"")"),0)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IFERROR(__xludf.DUMMYFUNCTION("IMPORTRANGE(""https://docs.google.com/spreadsheets/d/1IYY_tgx_IHuhSq3AJ5eI5OnqOPBNLWSHKh2a30DoXe8/edit?usp=sharing"",""สตูล!L301"")"),81620)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IFERROR(__xludf.DUMMYFUNCTION("IMPORTRANGE(""https://docs.google.com/spreadsheets/d/1IYY_tgx_IHuhSq3AJ5eI5OnqOPBNLWSHKh2a30DoXe8/edit?usp=sharing"",""สตูล!M301"")"),45792)</f>
        <v>45792</v>
      </c>
      <c r="O406" s="175">
        <f t="shared" ca="1" si="112"/>
        <v>56.103896103896105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IFERROR(__xludf.DUMMYFUNCTION("IMPORTRANGE(""https://docs.google.com/spreadsheets/d/1IYY_tgx_IHuhSq3AJ5eI5OnqOPBNLWSHKh2a30DoXe8/edit?usp=sharing"",""สตูล!M302"")"),26852)</f>
        <v>26852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IFERROR(__xludf.DUMMYFUNCTION("IMPORTRANGE(""https://docs.google.com/spreadsheets/d/1IYY_tgx_IHuhSq3AJ5eI5OnqOPBNLWSHKh2a30DoXe8/edit?usp=sharing"",""สตูล!M303"")"),15000)</f>
        <v>15000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IFERROR(__xludf.DUMMYFUNCTION("IMPORTRANGE(""https://docs.google.com/spreadsheets/d/1IYY_tgx_IHuhSq3AJ5eI5OnqOPBNLWSHKh2a30DoXe8/edit?usp=sharing"",""สตูล!M304"")"),0)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IFERROR(__xludf.DUMMYFUNCTION("IMPORTRANGE(""https://docs.google.com/spreadsheets/d/1IYY_tgx_IHuhSq3AJ5eI5OnqOPBNLWSHKh2a30DoXe8/edit?usp=sharing"",""สตูล!M305"")"),3940)</f>
        <v>3940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IFERROR(__xludf.DUMMYFUNCTION("IMPORTRANGE(""https://docs.google.com/spreadsheets/d/1IYY_tgx_IHuhSq3AJ5eI5OnqOPBNLWSHKh2a30DoXe8/edit?usp=sharing"",""สตูล!J307"")"),0)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IFERROR(__xludf.DUMMYFUNCTION("IMPORTRANGE(""https://docs.google.com/spreadsheets/d/1IYY_tgx_IHuhSq3AJ5eI5OnqOPBNLWSHKh2a30DoXe8/edit?usp=sharing"",""สตูล!J308"")"),1)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IFERROR(__xludf.DUMMYFUNCTION("IMPORTRANGE(""https://docs.google.com/spreadsheets/d/1IYY_tgx_IHuhSq3AJ5eI5OnqOPBNLWSHKh2a30DoXe8/edit?usp=sharing"",""สตูล!J309"")"),1)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IFERROR(__xludf.DUMMYFUNCTION("IMPORTRANGE(""https://docs.google.com/spreadsheets/d/1IYY_tgx_IHuhSq3AJ5eI5OnqOPBNLWSHKh2a30DoXe8/edit?usp=sharing"",""สตูล!J310"")"),1)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IFERROR(__xludf.DUMMYFUNCTION("IMPORTRANGE(""https://docs.google.com/spreadsheets/d/1IYY_tgx_IHuhSq3AJ5eI5OnqOPBNLWSHKh2a30DoXe8/edit?usp=sharing"",""สตูล!I311"")"),25)</f>
        <v>25</v>
      </c>
      <c r="J416" s="207">
        <f ca="1">IFERROR(__xludf.DUMMYFUNCTION("IMPORTRANGE(""https://docs.google.com/spreadsheets/d/1IYY_tgx_IHuhSq3AJ5eI5OnqOPBNLWSHKh2a30DoXe8/edit?usp=sharing"",""สตูล!J311"")"),25)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IFERROR(__xludf.DUMMYFUNCTION("IMPORTRANGE(""https://docs.google.com/spreadsheets/d/1IYY_tgx_IHuhSq3AJ5eI5OnqOPBNLWSHKh2a30DoXe8/edit?usp=sharing"",""สตูล!I312"")"),10)</f>
        <v>10</v>
      </c>
      <c r="J417" s="398">
        <f ca="1">IFERROR(__xludf.DUMMYFUNCTION("IMPORTRANGE(""https://docs.google.com/spreadsheets/d/1IYY_tgx_IHuhSq3AJ5eI5OnqOPBNLWSHKh2a30DoXe8/edit?usp=sharing"",""สตูล!J312"")"),10)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IFERROR(__xludf.DUMMYFUNCTION("IMPORTRANGE(""https://docs.google.com/spreadsheets/d/1IYY_tgx_IHuhSq3AJ5eI5OnqOPBNLWSHKh2a30DoXe8/edit?usp=sharing"",""สตูล!I313"")"),30)</f>
        <v>30</v>
      </c>
      <c r="J418" s="399">
        <f ca="1">IFERROR(__xludf.DUMMYFUNCTION("IMPORTRANGE(""https://docs.google.com/spreadsheets/d/1IYY_tgx_IHuhSq3AJ5eI5OnqOPBNLWSHKh2a30DoXe8/edit?usp=sharing"",""สตูล!J313"")"),30)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IFERROR(__xludf.DUMMYFUNCTION("IMPORTRANGE(""https://docs.google.com/spreadsheets/d/1IYY_tgx_IHuhSq3AJ5eI5OnqOPBNLWSHKh2a30DoXe8/edit?usp=sharing"",""สตูล!I314"")"),10)</f>
        <v>10</v>
      </c>
      <c r="J419" s="400">
        <f ca="1">IFERROR(__xludf.DUMMYFUNCTION("IMPORTRANGE(""https://docs.google.com/spreadsheets/d/1IYY_tgx_IHuhSq3AJ5eI5OnqOPBNLWSHKh2a30DoXe8/edit?usp=sharing"",""สตูล!J314"")"),10)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IFERROR(__xludf.DUMMYFUNCTION("IMPORTRANGE(""https://docs.google.com/spreadsheets/d/1IYY_tgx_IHuhSq3AJ5eI5OnqOPBNLWSHKh2a30DoXe8/edit?usp=sharing"",""สตูล!I315"")"),10)</f>
        <v>10</v>
      </c>
      <c r="J420" s="400">
        <f ca="1">IFERROR(__xludf.DUMMYFUNCTION("IMPORTRANGE(""https://docs.google.com/spreadsheets/d/1IYY_tgx_IHuhSq3AJ5eI5OnqOPBNLWSHKh2a30DoXe8/edit?usp=sharing"",""สตูล!J315"")"),10)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IFERROR(__xludf.DUMMYFUNCTION("IMPORTRANGE(""https://docs.google.com/spreadsheets/d/1IYY_tgx_IHuhSq3AJ5eI5OnqOPBNLWSHKh2a30DoXe8/edit?usp=sharing"",""สตูล!I316"")"),0)</f>
        <v>0</v>
      </c>
      <c r="J421" s="398">
        <f ca="1">IFERROR(__xludf.DUMMYFUNCTION("IMPORTRANGE(""https://docs.google.com/spreadsheets/d/1IYY_tgx_IHuhSq3AJ5eI5OnqOPBNLWSHKh2a30DoXe8/edit?usp=sharing"",""สตูล!J316"")"),0)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IFERROR(__xludf.DUMMYFUNCTION("IMPORTRANGE(""https://docs.google.com/spreadsheets/d/1IYY_tgx_IHuhSq3AJ5eI5OnqOPBNLWSHKh2a30DoXe8/edit?usp=sharing"",""สตูล!I317"")"),0)</f>
        <v>0</v>
      </c>
      <c r="J422" s="399">
        <f ca="1">IFERROR(__xludf.DUMMYFUNCTION("IMPORTRANGE(""https://docs.google.com/spreadsheets/d/1IYY_tgx_IHuhSq3AJ5eI5OnqOPBNLWSHKh2a30DoXe8/edit?usp=sharing"",""สตูล!J317"")"),0)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IFERROR(__xludf.DUMMYFUNCTION("IMPORTRANGE(""https://docs.google.com/spreadsheets/d/1IYY_tgx_IHuhSq3AJ5eI5OnqOPBNLWSHKh2a30DoXe8/edit?usp=sharing"",""สตูล!I318"")"),0)</f>
        <v>0</v>
      </c>
      <c r="J423" s="400">
        <f ca="1">IFERROR(__xludf.DUMMYFUNCTION("IMPORTRANGE(""https://docs.google.com/spreadsheets/d/1IYY_tgx_IHuhSq3AJ5eI5OnqOPBNLWSHKh2a30DoXe8/edit?usp=sharing"",""สตูล!J318"")"),0)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IFERROR(__xludf.DUMMYFUNCTION("IMPORTRANGE(""https://docs.google.com/spreadsheets/d/1IYY_tgx_IHuhSq3AJ5eI5OnqOPBNLWSHKh2a30DoXe8/edit?usp=sharing"",""สตูล!I319"")"),0)</f>
        <v>0</v>
      </c>
      <c r="J424" s="400">
        <f ca="1">IFERROR(__xludf.DUMMYFUNCTION("IMPORTRANGE(""https://docs.google.com/spreadsheets/d/1IYY_tgx_IHuhSq3AJ5eI5OnqOPBNLWSHKh2a30DoXe8/edit?usp=sharing"",""สตูล!J319"")"),0)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IFERROR(__xludf.DUMMYFUNCTION("IMPORTRANGE(""https://docs.google.com/spreadsheets/d/1IYY_tgx_IHuhSq3AJ5eI5OnqOPBNLWSHKh2a30DoXe8/edit?usp=sharing"",""สตูล!I320"")"),0)</f>
        <v>0</v>
      </c>
      <c r="J425" s="400">
        <f ca="1">IFERROR(__xludf.DUMMYFUNCTION("IMPORTRANGE(""https://docs.google.com/spreadsheets/d/1IYY_tgx_IHuhSq3AJ5eI5OnqOPBNLWSHKh2a30DoXe8/edit?usp=sharing"",""สตูล!J320"")"),0)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IFERROR(__xludf.DUMMYFUNCTION("IMPORTRANGE(""https://docs.google.com/spreadsheets/d/1IYY_tgx_IHuhSq3AJ5eI5OnqOPBNLWSHKh2a30DoXe8/edit?usp=sharing"",""สตูล!I321"")"),15)</f>
        <v>15</v>
      </c>
      <c r="J426" s="398">
        <f ca="1">IFERROR(__xludf.DUMMYFUNCTION("IMPORTRANGE(""https://docs.google.com/spreadsheets/d/1IYY_tgx_IHuhSq3AJ5eI5OnqOPBNLWSHKh2a30DoXe8/edit?usp=sharing"",""สตูล!J321"")"),15)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IFERROR(__xludf.DUMMYFUNCTION("IMPORTRANGE(""https://docs.google.com/spreadsheets/d/1IYY_tgx_IHuhSq3AJ5eI5OnqOPBNLWSHKh2a30DoXe8/edit?usp=sharing"",""สตูล!I322"")"),45)</f>
        <v>45</v>
      </c>
      <c r="J427" s="399">
        <f ca="1">IFERROR(__xludf.DUMMYFUNCTION("IMPORTRANGE(""https://docs.google.com/spreadsheets/d/1IYY_tgx_IHuhSq3AJ5eI5OnqOPBNLWSHKh2a30DoXe8/edit?usp=sharing"",""สตูล!J322"")"),45)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IFERROR(__xludf.DUMMYFUNCTION("IMPORTRANGE(""https://docs.google.com/spreadsheets/d/1IYY_tgx_IHuhSq3AJ5eI5OnqOPBNLWSHKh2a30DoXe8/edit?usp=sharing"",""สตูล!I323"")"),15)</f>
        <v>15</v>
      </c>
      <c r="J428" s="400">
        <f ca="1">IFERROR(__xludf.DUMMYFUNCTION("IMPORTRANGE(""https://docs.google.com/spreadsheets/d/1IYY_tgx_IHuhSq3AJ5eI5OnqOPBNLWSHKh2a30DoXe8/edit?usp=sharing"",""สตูล!J323"")"),15)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IFERROR(__xludf.DUMMYFUNCTION("IMPORTRANGE(""https://docs.google.com/spreadsheets/d/1IYY_tgx_IHuhSq3AJ5eI5OnqOPBNLWSHKh2a30DoXe8/edit?usp=sharing"",""สตูล!I324"")"),15)</f>
        <v>15</v>
      </c>
      <c r="J429" s="400">
        <f ca="1">IFERROR(__xludf.DUMMYFUNCTION("IMPORTRANGE(""https://docs.google.com/spreadsheets/d/1IYY_tgx_IHuhSq3AJ5eI5OnqOPBNLWSHKh2a30DoXe8/edit?usp=sharing"",""สตูล!J324"")"),15)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IFERROR(__xludf.DUMMYFUNCTION("IMPORTRANGE(""https://docs.google.com/spreadsheets/d/1IYY_tgx_IHuhSq3AJ5eI5OnqOPBNLWSHKh2a30DoXe8/edit?usp=sharing"",""สตูล!I325"")"),10)</f>
        <v>10</v>
      </c>
      <c r="J430" s="398">
        <f ca="1">IFERROR(__xludf.DUMMYFUNCTION("IMPORTRANGE(""https://docs.google.com/spreadsheets/d/1IYY_tgx_IHuhSq3AJ5eI5OnqOPBNLWSHKh2a30DoXe8/edit?usp=sharing"",""สตูล!J325"")"),10)</f>
        <v>10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IFERROR(__xludf.DUMMYFUNCTION("IMPORTRANGE(""https://docs.google.com/spreadsheets/d/1IYY_tgx_IHuhSq3AJ5eI5OnqOPBNLWSHKh2a30DoXe8/edit?usp=sharing"",""สตูล!I326"")"),10)</f>
        <v>10</v>
      </c>
      <c r="J431" s="400">
        <f ca="1">IFERROR(__xludf.DUMMYFUNCTION("IMPORTRANGE(""https://docs.google.com/spreadsheets/d/1IYY_tgx_IHuhSq3AJ5eI5OnqOPBNLWSHKh2a30DoXe8/edit?usp=sharing"",""สตูล!J326"")"),10)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IFERROR(__xludf.DUMMYFUNCTION("IMPORTRANGE(""https://docs.google.com/spreadsheets/d/1IYY_tgx_IHuhSq3AJ5eI5OnqOPBNLWSHKh2a30DoXe8/edit?usp=sharing"",""สตูล!I327"")"),0)</f>
        <v>0</v>
      </c>
      <c r="J432" s="400">
        <f ca="1">IFERROR(__xludf.DUMMYFUNCTION("IMPORTRANGE(""https://docs.google.com/spreadsheets/d/1IYY_tgx_IHuhSq3AJ5eI5OnqOPBNLWSHKh2a30DoXe8/edit?usp=sharing"",""สตูล!J327"")"),0)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IFERROR(__xludf.DUMMYFUNCTION("IMPORTRANGE(""https://docs.google.com/spreadsheets/d/1IYY_tgx_IHuhSq3AJ5eI5OnqOPBNLWSHKh2a30DoXe8/edit?usp=sharing"",""สตูล!J328"")"),0)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IFERROR(__xludf.DUMMYFUNCTION("IMPORTRANGE(""https://docs.google.com/spreadsheets/d/1IYY_tgx_IHuhSq3AJ5eI5OnqOPBNLWSHKh2a30DoXe8/edit?usp=sharing"",""สตูล!J329"")"),0)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IFERROR(__xludf.DUMMYFUNCTION("IMPORTRANGE(""https://docs.google.com/spreadsheets/d/1IYY_tgx_IHuhSq3AJ5eI5OnqOPBNLWSHKh2a30DoXe8/edit?usp=sharing"",""สตูล!I330"")"),10)</f>
        <v>10</v>
      </c>
      <c r="J435" s="416">
        <f ca="1">IFERROR(__xludf.DUMMYFUNCTION("IMPORTRANGE(""https://docs.google.com/spreadsheets/d/1IYY_tgx_IHuhSq3AJ5eI5OnqOPBNLWSHKh2a30DoXe8/edit?usp=sharing"",""สตูล!J330"")"),10)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IFERROR(__xludf.DUMMYFUNCTION("IMPORTRANGE(""https://docs.google.com/spreadsheets/d/1IYY_tgx_IHuhSq3AJ5eI5OnqOPBNLWSHKh2a30DoXe8/edit?usp=sharing"",""สตูล!L330"")"),76000)</f>
        <v>76000</v>
      </c>
      <c r="M435" s="418"/>
      <c r="N435" s="418">
        <f ca="1">IFERROR(__xludf.DUMMYFUNCTION("IMPORTRANGE(""https://docs.google.com/spreadsheets/d/1IYY_tgx_IHuhSq3AJ5eI5OnqOPBNLWSHKh2a30DoXe8/edit?usp=sharing"",""สตูล!M330"")"),70730)</f>
        <v>70730</v>
      </c>
      <c r="O435" s="418">
        <f t="shared" ref="O435:O439" ca="1" si="114">+IF(L435&gt;0,N435*100/L435,0)</f>
        <v>93.065789473684205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IFERROR(__xludf.DUMMYFUNCTION("IMPORTRANGE(""https://docs.google.com/spreadsheets/d/1IYY_tgx_IHuhSq3AJ5eI5OnqOPBNLWSHKh2a30DoXe8/edit?usp=sharing"",""สตูล!L331"")"),0)</f>
        <v>0</v>
      </c>
      <c r="M436" s="168"/>
      <c r="N436" s="175">
        <f ca="1">IFERROR(__xludf.DUMMYFUNCTION("IMPORTRANGE(""https://docs.google.com/spreadsheets/d/1IYY_tgx_IHuhSq3AJ5eI5OnqOPBNLWSHKh2a30DoXe8/edit?usp=sharing"",""สตูล!M331"")"),0)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IFERROR(__xludf.DUMMYFUNCTION("IMPORTRANGE(""https://docs.google.com/spreadsheets/d/1IYY_tgx_IHuhSq3AJ5eI5OnqOPBNLWSHKh2a30DoXe8/edit?usp=sharing"",""สตูล!L332"")"),76000)</f>
        <v>76000</v>
      </c>
      <c r="M437" s="169"/>
      <c r="N437" s="175">
        <f ca="1">IFERROR(__xludf.DUMMYFUNCTION("IMPORTRANGE(""https://docs.google.com/spreadsheets/d/1IYY_tgx_IHuhSq3AJ5eI5OnqOPBNLWSHKh2a30DoXe8/edit?usp=sharing"",""สตูล!M332"")"),70730)</f>
        <v>70730</v>
      </c>
      <c r="O437" s="175">
        <f t="shared" ca="1" si="114"/>
        <v>93.065789473684205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IFERROR(__xludf.DUMMYFUNCTION("IMPORTRANGE(""https://docs.google.com/spreadsheets/d/1IYY_tgx_IHuhSq3AJ5eI5OnqOPBNLWSHKh2a30DoXe8/edit?usp=sharing"",""สตูล!L333"")"),0)</f>
        <v>0</v>
      </c>
      <c r="M438" s="175"/>
      <c r="N438" s="175">
        <f ca="1">IFERROR(__xludf.DUMMYFUNCTION("IMPORTRANGE(""https://docs.google.com/spreadsheets/d/1IYY_tgx_IHuhSq3AJ5eI5OnqOPBNLWSHKh2a30DoXe8/edit?usp=sharing"",""สตูล!M333"")"),0)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IFERROR(__xludf.DUMMYFUNCTION("IMPORTRANGE(""https://docs.google.com/spreadsheets/d/1IYY_tgx_IHuhSq3AJ5eI5OnqOPBNLWSHKh2a30DoXe8/edit?usp=sharing"",""สตูล!L334"")"),76000)</f>
        <v>76000</v>
      </c>
      <c r="M439" s="175"/>
      <c r="N439" s="175">
        <f ca="1">IFERROR(__xludf.DUMMYFUNCTION("IMPORTRANGE(""https://docs.google.com/spreadsheets/d/1IYY_tgx_IHuhSq3AJ5eI5OnqOPBNLWSHKh2a30DoXe8/edit?usp=sharing"",""สตูล!M334"")"),70730)</f>
        <v>70730</v>
      </c>
      <c r="O439" s="175">
        <f t="shared" ca="1" si="114"/>
        <v>93.065789473684205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IFERROR(__xludf.DUMMYFUNCTION("IMPORTRANGE(""https://docs.google.com/spreadsheets/d/1IYY_tgx_IHuhSq3AJ5eI5OnqOPBNLWSHKh2a30DoXe8/edit?usp=sharing"",""สตูล!M335"")"),25200)</f>
        <v>25200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IFERROR(__xludf.DUMMYFUNCTION("IMPORTRANGE(""https://docs.google.com/spreadsheets/d/1IYY_tgx_IHuhSq3AJ5eI5OnqOPBNLWSHKh2a30DoXe8/edit?usp=sharing"",""สตูล!M336"")"),0)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IFERROR(__xludf.DUMMYFUNCTION("IMPORTRANGE(""https://docs.google.com/spreadsheets/d/1IYY_tgx_IHuhSq3AJ5eI5OnqOPBNLWSHKh2a30DoXe8/edit?usp=sharing"",""สตูล!M337"")"),0)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IFERROR(__xludf.DUMMYFUNCTION("IMPORTRANGE(""https://docs.google.com/spreadsheets/d/1IYY_tgx_IHuhSq3AJ5eI5OnqOPBNLWSHKh2a30DoXe8/edit?usp=sharing"",""สตูล!M338"")"),45530)</f>
        <v>45530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IFERROR(__xludf.DUMMYFUNCTION("IMPORTRANGE(""https://docs.google.com/spreadsheets/d/1IYY_tgx_IHuhSq3AJ5eI5OnqOPBNLWSHKh2a30DoXe8/edit?usp=sharing"",""สตูล!J340"")"),0)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IFERROR(__xludf.DUMMYFUNCTION("IMPORTRANGE(""https://docs.google.com/spreadsheets/d/1IYY_tgx_IHuhSq3AJ5eI5OnqOPBNLWSHKh2a30DoXe8/edit?usp=sharing"",""สตูล!J341"")"),1)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IFERROR(__xludf.DUMMYFUNCTION("IMPORTRANGE(""https://docs.google.com/spreadsheets/d/1IYY_tgx_IHuhSq3AJ5eI5OnqOPBNLWSHKh2a30DoXe8/edit?usp=sharing"",""สตูล!J342"")"),1)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IFERROR(__xludf.DUMMYFUNCTION("IMPORTRANGE(""https://docs.google.com/spreadsheets/d/1IYY_tgx_IHuhSq3AJ5eI5OnqOPBNLWSHKh2a30DoXe8/edit?usp=sharing"",""สตูล!J343"")"),1)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IFERROR(__xludf.DUMMYFUNCTION("IMPORTRANGE(""https://docs.google.com/spreadsheets/d/1IYY_tgx_IHuhSq3AJ5eI5OnqOPBNLWSHKh2a30DoXe8/edit?usp=sharing"",""สตูล!I344"")"),10)</f>
        <v>10</v>
      </c>
      <c r="J449" s="207">
        <f ca="1">IFERROR(__xludf.DUMMYFUNCTION("IMPORTRANGE(""https://docs.google.com/spreadsheets/d/1IYY_tgx_IHuhSq3AJ5eI5OnqOPBNLWSHKh2a30DoXe8/edit?usp=sharing"",""สตูล!J344"")"),10)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IFERROR(__xludf.DUMMYFUNCTION("IMPORTRANGE(""https://docs.google.com/spreadsheets/d/1IYY_tgx_IHuhSq3AJ5eI5OnqOPBNLWSHKh2a30DoXe8/edit?usp=sharing"",""สตูล!I345"")"),10)</f>
        <v>10</v>
      </c>
      <c r="J450" s="195">
        <f ca="1">IFERROR(__xludf.DUMMYFUNCTION("IMPORTRANGE(""https://docs.google.com/spreadsheets/d/1IYY_tgx_IHuhSq3AJ5eI5OnqOPBNLWSHKh2a30DoXe8/edit?usp=sharing"",""สตูล!J345"")"),10)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IFERROR(__xludf.DUMMYFUNCTION("IMPORTRANGE(""https://docs.google.com/spreadsheets/d/1IYY_tgx_IHuhSq3AJ5eI5OnqOPBNLWSHKh2a30DoXe8/edit?usp=sharing"",""สตูล!I346"")"),0)</f>
        <v>0</v>
      </c>
      <c r="J451" s="194">
        <f ca="1">IFERROR(__xludf.DUMMYFUNCTION("IMPORTRANGE(""https://docs.google.com/spreadsheets/d/1IYY_tgx_IHuhSq3AJ5eI5OnqOPBNLWSHKh2a30DoXe8/edit?usp=sharing"",""สตูล!J346"")"),0)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IFERROR(__xludf.DUMMYFUNCTION("IMPORTRANGE(""https://docs.google.com/spreadsheets/d/1IYY_tgx_IHuhSq3AJ5eI5OnqOPBNLWSHKh2a30DoXe8/edit?usp=sharing"",""สตูล!I347"")"),0)</f>
        <v>0</v>
      </c>
      <c r="J452" s="194">
        <f ca="1">IFERROR(__xludf.DUMMYFUNCTION("IMPORTRANGE(""https://docs.google.com/spreadsheets/d/1IYY_tgx_IHuhSq3AJ5eI5OnqOPBNLWSHKh2a30DoXe8/edit?usp=sharing"",""สตูล!J347"")"),0)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IFERROR(__xludf.DUMMYFUNCTION("IMPORTRANGE(""https://docs.google.com/spreadsheets/d/1IYY_tgx_IHuhSq3AJ5eI5OnqOPBNLWSHKh2a30DoXe8/edit?usp=sharing"",""สตูล!J348"")"),0)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IFERROR(__xludf.DUMMYFUNCTION("IMPORTRANGE(""https://docs.google.com/spreadsheets/d/1IYY_tgx_IHuhSq3AJ5eI5OnqOPBNLWSHKh2a30DoXe8/edit?usp=sharing"",""สตูล!J349"")"),0)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IFERROR(__xludf.DUMMYFUNCTION("IMPORTRANGE(""https://docs.google.com/spreadsheets/d/1IYY_tgx_IHuhSq3AJ5eI5OnqOPBNLWSHKh2a30DoXe8/edit?usp=sharing"",""สตูล!I350"")"),9865)</f>
        <v>9865</v>
      </c>
      <c r="J455" s="377">
        <f ca="1">IFERROR(__xludf.DUMMYFUNCTION("IMPORTRANGE(""https://docs.google.com/spreadsheets/d/1IYY_tgx_IHuhSq3AJ5eI5OnqOPBNLWSHKh2a30DoXe8/edit?usp=sharing"",""สตูล!J350"")"),9867)</f>
        <v>9867</v>
      </c>
      <c r="K455" s="378">
        <f ca="1">IF(I455&gt;0,J455*100/I455,0)</f>
        <v>100.0202736948809</v>
      </c>
      <c r="L455" s="379">
        <f ca="1">IFERROR(__xludf.DUMMYFUNCTION("IMPORTRANGE(""https://docs.google.com/spreadsheets/d/1IYY_tgx_IHuhSq3AJ5eI5OnqOPBNLWSHKh2a30DoXe8/edit?usp=sharing"",""สตูล!L350"")"),90626.1)</f>
        <v>90626.1</v>
      </c>
      <c r="M455" s="379"/>
      <c r="N455" s="379">
        <f ca="1">IFERROR(__xludf.DUMMYFUNCTION("IMPORTRANGE(""https://docs.google.com/spreadsheets/d/1IYY_tgx_IHuhSq3AJ5eI5OnqOPBNLWSHKh2a30DoXe8/edit?usp=sharing"",""สตูล!M350"")"),50249)</f>
        <v>50249</v>
      </c>
      <c r="O455" s="379">
        <f t="shared" ref="O455:O459" ca="1" si="116">+IF(L455&gt;0,N455*100/L455,0)</f>
        <v>55.446499408007185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IFERROR(__xludf.DUMMYFUNCTION("IMPORTRANGE(""https://docs.google.com/spreadsheets/d/1IYY_tgx_IHuhSq3AJ5eI5OnqOPBNLWSHKh2a30DoXe8/edit?usp=sharing"",""สตูล!L351"")"),0)</f>
        <v>0</v>
      </c>
      <c r="M456" s="168"/>
      <c r="N456" s="175">
        <f ca="1">IFERROR(__xludf.DUMMYFUNCTION("IMPORTRANGE(""https://docs.google.com/spreadsheets/d/1IYY_tgx_IHuhSq3AJ5eI5OnqOPBNLWSHKh2a30DoXe8/edit?usp=sharing"",""สตูล!M351"")"),0)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IFERROR(__xludf.DUMMYFUNCTION("IMPORTRANGE(""https://docs.google.com/spreadsheets/d/1IYY_tgx_IHuhSq3AJ5eI5OnqOPBNLWSHKh2a30DoXe8/edit?usp=sharing"",""สตูล!L352"")"),90626.1)</f>
        <v>90626.1</v>
      </c>
      <c r="M457" s="169"/>
      <c r="N457" s="175">
        <f ca="1">IFERROR(__xludf.DUMMYFUNCTION("IMPORTRANGE(""https://docs.google.com/spreadsheets/d/1IYY_tgx_IHuhSq3AJ5eI5OnqOPBNLWSHKh2a30DoXe8/edit?usp=sharing"",""สตูล!M352"")"),50249)</f>
        <v>50249</v>
      </c>
      <c r="O457" s="175">
        <f t="shared" ca="1" si="116"/>
        <v>55.446499408007185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IFERROR(__xludf.DUMMYFUNCTION("IMPORTRANGE(""https://docs.google.com/spreadsheets/d/1IYY_tgx_IHuhSq3AJ5eI5OnqOPBNLWSHKh2a30DoXe8/edit?usp=sharing"",""สตูล!L353"")"),0)</f>
        <v>0</v>
      </c>
      <c r="M458" s="175"/>
      <c r="N458" s="175">
        <f ca="1">IFERROR(__xludf.DUMMYFUNCTION("IMPORTRANGE(""https://docs.google.com/spreadsheets/d/1IYY_tgx_IHuhSq3AJ5eI5OnqOPBNLWSHKh2a30DoXe8/edit?usp=sharing"",""สตูล!M353"")"),0)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IFERROR(__xludf.DUMMYFUNCTION("IMPORTRANGE(""https://docs.google.com/spreadsheets/d/1IYY_tgx_IHuhSq3AJ5eI5OnqOPBNLWSHKh2a30DoXe8/edit?usp=sharing"",""สตูล!L354"")"),90626.1)</f>
        <v>90626.1</v>
      </c>
      <c r="M459" s="175"/>
      <c r="N459" s="175">
        <f ca="1">IFERROR(__xludf.DUMMYFUNCTION("IMPORTRANGE(""https://docs.google.com/spreadsheets/d/1IYY_tgx_IHuhSq3AJ5eI5OnqOPBNLWSHKh2a30DoXe8/edit?usp=sharing"",""สตูล!M354"")"),50249)</f>
        <v>50249</v>
      </c>
      <c r="O459" s="175">
        <f t="shared" ca="1" si="116"/>
        <v>55.446499408007185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IFERROR(__xludf.DUMMYFUNCTION("IMPORTRANGE(""https://docs.google.com/spreadsheets/d/1IYY_tgx_IHuhSq3AJ5eI5OnqOPBNLWSHKh2a30DoXe8/edit?usp=sharing"",""สตูล!M355"")"),0)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IFERROR(__xludf.DUMMYFUNCTION("IMPORTRANGE(""https://docs.google.com/spreadsheets/d/1IYY_tgx_IHuhSq3AJ5eI5OnqOPBNLWSHKh2a30DoXe8/edit?usp=sharing"",""สตูล!M356"")"),0)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IFERROR(__xludf.DUMMYFUNCTION("IMPORTRANGE(""https://docs.google.com/spreadsheets/d/1IYY_tgx_IHuhSq3AJ5eI5OnqOPBNLWSHKh2a30DoXe8/edit?usp=sharing"",""สตูล!M357"")"),0)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IFERROR(__xludf.DUMMYFUNCTION("IMPORTRANGE(""https://docs.google.com/spreadsheets/d/1IYY_tgx_IHuhSq3AJ5eI5OnqOPBNLWSHKh2a30DoXe8/edit?usp=sharing"",""สตูล!M358"")"),50249)</f>
        <v>50249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IFERROR(__xludf.DUMMYFUNCTION("IMPORTRANGE(""https://docs.google.com/spreadsheets/d/1IYY_tgx_IHuhSq3AJ5eI5OnqOPBNLWSHKh2a30DoXe8/edit?usp=sharing"",""สตูล!I359"")"),9865)</f>
        <v>9865</v>
      </c>
      <c r="J464" s="273">
        <f ca="1">IFERROR(__xludf.DUMMYFUNCTION("IMPORTRANGE(""https://docs.google.com/spreadsheets/d/1IYY_tgx_IHuhSq3AJ5eI5OnqOPBNLWSHKh2a30DoXe8/edit?usp=sharing"",""สตูล!J359"")"),9867)</f>
        <v>9867</v>
      </c>
      <c r="K464" s="274">
        <f t="shared" ref="K464:K515" ca="1" si="117">IF(I464&gt;0,J464*100/I464,0)</f>
        <v>100.0202736948809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IFERROR(__xludf.DUMMYFUNCTION("IMPORTRANGE(""https://docs.google.com/spreadsheets/d/1IYY_tgx_IHuhSq3AJ5eI5OnqOPBNLWSHKh2a30DoXe8/edit?usp=sharing"",""สตูล!I360"")"),9865)</f>
        <v>9865</v>
      </c>
      <c r="J465" s="426">
        <f ca="1">IFERROR(__xludf.DUMMYFUNCTION("IMPORTRANGE(""https://docs.google.com/spreadsheets/d/1IYY_tgx_IHuhSq3AJ5eI5OnqOPBNLWSHKh2a30DoXe8/edit?usp=sharing"",""สตูล!J360"")"),9865)</f>
        <v>9865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IFERROR(__xludf.DUMMYFUNCTION("IMPORTRANGE(""https://docs.google.com/spreadsheets/d/1IYY_tgx_IHuhSq3AJ5eI5OnqOPBNLWSHKh2a30DoXe8/edit?usp=sharing"",""สตูล!I361"")"),1411)</f>
        <v>1411</v>
      </c>
      <c r="J466" s="426">
        <f ca="1">IFERROR(__xludf.DUMMYFUNCTION("IMPORTRANGE(""https://docs.google.com/spreadsheets/d/1IYY_tgx_IHuhSq3AJ5eI5OnqOPBNLWSHKh2a30DoXe8/edit?usp=sharing"",""สตูล!J361"")"),1411)</f>
        <v>1411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IFERROR(__xludf.DUMMYFUNCTION("IMPORTRANGE(""https://docs.google.com/spreadsheets/d/1IYY_tgx_IHuhSq3AJ5eI5OnqOPBNLWSHKh2a30DoXe8/edit?usp=sharing"",""สตูล!I362"")"),0)</f>
        <v>0</v>
      </c>
      <c r="J467" s="195">
        <f ca="1">IFERROR(__xludf.DUMMYFUNCTION("IMPORTRANGE(""https://docs.google.com/spreadsheets/d/1IYY_tgx_IHuhSq3AJ5eI5OnqOPBNLWSHKh2a30DoXe8/edit?usp=sharing"",""สตูล!J362"")"),9292)</f>
        <v>9292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IFERROR(__xludf.DUMMYFUNCTION("IMPORTRANGE(""https://docs.google.com/spreadsheets/d/1IYY_tgx_IHuhSq3AJ5eI5OnqOPBNLWSHKh2a30DoXe8/edit?usp=sharing"",""สตูล!I363"")"),0)</f>
        <v>0</v>
      </c>
      <c r="J468" s="195">
        <f ca="1">IFERROR(__xludf.DUMMYFUNCTION("IMPORTRANGE(""https://docs.google.com/spreadsheets/d/1IYY_tgx_IHuhSq3AJ5eI5OnqOPBNLWSHKh2a30DoXe8/edit?usp=sharing"",""สตูล!J363"")"),1337)</f>
        <v>1337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IFERROR(__xludf.DUMMYFUNCTION("IMPORTRANGE(""https://docs.google.com/spreadsheets/d/1IYY_tgx_IHuhSq3AJ5eI5OnqOPBNLWSHKh2a30DoXe8/edit?usp=sharing"",""สตูล!I364"")"),0)</f>
        <v>0</v>
      </c>
      <c r="J469" s="195">
        <f ca="1">IFERROR(__xludf.DUMMYFUNCTION("IMPORTRANGE(""https://docs.google.com/spreadsheets/d/1IYY_tgx_IHuhSq3AJ5eI5OnqOPBNLWSHKh2a30DoXe8/edit?usp=sharing"",""สตูล!J364"")"),477)</f>
        <v>477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IFERROR(__xludf.DUMMYFUNCTION("IMPORTRANGE(""https://docs.google.com/spreadsheets/d/1IYY_tgx_IHuhSq3AJ5eI5OnqOPBNLWSHKh2a30DoXe8/edit?usp=sharing"",""สตูล!I365"")"),0)</f>
        <v>0</v>
      </c>
      <c r="J470" s="195">
        <f ca="1">IFERROR(__xludf.DUMMYFUNCTION("IMPORTRANGE(""https://docs.google.com/spreadsheets/d/1IYY_tgx_IHuhSq3AJ5eI5OnqOPBNLWSHKh2a30DoXe8/edit?usp=sharing"",""สตูล!J365"")"),57)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IFERROR(__xludf.DUMMYFUNCTION("IMPORTRANGE(""https://docs.google.com/spreadsheets/d/1IYY_tgx_IHuhSq3AJ5eI5OnqOPBNLWSHKh2a30DoXe8/edit?usp=sharing"",""สตูล!I366"")"),0)</f>
        <v>0</v>
      </c>
      <c r="J471" s="195">
        <f ca="1">IFERROR(__xludf.DUMMYFUNCTION("IMPORTRANGE(""https://docs.google.com/spreadsheets/d/1IYY_tgx_IHuhSq3AJ5eI5OnqOPBNLWSHKh2a30DoXe8/edit?usp=sharing"",""สตูล!J366"")"),96)</f>
        <v>96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IFERROR(__xludf.DUMMYFUNCTION("IMPORTRANGE(""https://docs.google.com/spreadsheets/d/1IYY_tgx_IHuhSq3AJ5eI5OnqOPBNLWSHKh2a30DoXe8/edit?usp=sharing"",""สตูล!I367"")"),0)</f>
        <v>0</v>
      </c>
      <c r="J472" s="195">
        <f ca="1">IFERROR(__xludf.DUMMYFUNCTION("IMPORTRANGE(""https://docs.google.com/spreadsheets/d/1IYY_tgx_IHuhSq3AJ5eI5OnqOPBNLWSHKh2a30DoXe8/edit?usp=sharing"",""สตูล!J367"")"),17)</f>
        <v>17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IFERROR(__xludf.DUMMYFUNCTION("IMPORTRANGE(""https://docs.google.com/spreadsheets/d/1IYY_tgx_IHuhSq3AJ5eI5OnqOPBNLWSHKh2a30DoXe8/edit?usp=sharing"",""สตูล!I368"")"),9865)</f>
        <v>9865</v>
      </c>
      <c r="J473" s="426">
        <f ca="1">IFERROR(__xludf.DUMMYFUNCTION("IMPORTRANGE(""https://docs.google.com/spreadsheets/d/1IYY_tgx_IHuhSq3AJ5eI5OnqOPBNLWSHKh2a30DoXe8/edit?usp=sharing"",""สตูล!J368"")"),9867)</f>
        <v>9867</v>
      </c>
      <c r="K473" s="208">
        <f t="shared" ca="1" si="117"/>
        <v>100.0202736948809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IFERROR(__xludf.DUMMYFUNCTION("IMPORTRANGE(""https://docs.google.com/spreadsheets/d/1IYY_tgx_IHuhSq3AJ5eI5OnqOPBNLWSHKh2a30DoXe8/edit?usp=sharing"",""สตูล!I369"")"),1411)</f>
        <v>1411</v>
      </c>
      <c r="J474" s="426">
        <f ca="1">IFERROR(__xludf.DUMMYFUNCTION("IMPORTRANGE(""https://docs.google.com/spreadsheets/d/1IYY_tgx_IHuhSq3AJ5eI5OnqOPBNLWSHKh2a30DoXe8/edit?usp=sharing"",""สตูล!J369"")"),1411)</f>
        <v>1411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IFERROR(__xludf.DUMMYFUNCTION("IMPORTRANGE(""https://docs.google.com/spreadsheets/d/1IYY_tgx_IHuhSq3AJ5eI5OnqOPBNLWSHKh2a30DoXe8/edit?usp=sharing"",""สตูล!I370"")"),0)</f>
        <v>0</v>
      </c>
      <c r="J475" s="195">
        <f ca="1">IFERROR(__xludf.DUMMYFUNCTION("IMPORTRANGE(""https://docs.google.com/spreadsheets/d/1IYY_tgx_IHuhSq3AJ5eI5OnqOPBNLWSHKh2a30DoXe8/edit?usp=sharing"",""สตูล!J370"")"),9340)</f>
        <v>9340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IFERROR(__xludf.DUMMYFUNCTION("IMPORTRANGE(""https://docs.google.com/spreadsheets/d/1IYY_tgx_IHuhSq3AJ5eI5OnqOPBNLWSHKh2a30DoXe8/edit?usp=sharing"",""สตูล!I371"")"),0)</f>
        <v>0</v>
      </c>
      <c r="J476" s="195">
        <f ca="1">IFERROR(__xludf.DUMMYFUNCTION("IMPORTRANGE(""https://docs.google.com/spreadsheets/d/1IYY_tgx_IHuhSq3AJ5eI5OnqOPBNLWSHKh2a30DoXe8/edit?usp=sharing"",""สตูล!J371"")"),1348)</f>
        <v>1348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IFERROR(__xludf.DUMMYFUNCTION("IMPORTRANGE(""https://docs.google.com/spreadsheets/d/1IYY_tgx_IHuhSq3AJ5eI5OnqOPBNLWSHKh2a30DoXe8/edit?usp=sharing"",""สตูล!I372"")"),0)</f>
        <v>0</v>
      </c>
      <c r="J477" s="195">
        <f ca="1">IFERROR(__xludf.DUMMYFUNCTION("IMPORTRANGE(""https://docs.google.com/spreadsheets/d/1IYY_tgx_IHuhSq3AJ5eI5OnqOPBNLWSHKh2a30DoXe8/edit?usp=sharing"",""สตูล!J372"")"),403)</f>
        <v>403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IFERROR(__xludf.DUMMYFUNCTION("IMPORTRANGE(""https://docs.google.com/spreadsheets/d/1IYY_tgx_IHuhSq3AJ5eI5OnqOPBNLWSHKh2a30DoXe8/edit?usp=sharing"",""สตูล!I373"")"),0)</f>
        <v>0</v>
      </c>
      <c r="J478" s="195">
        <f ca="1">IFERROR(__xludf.DUMMYFUNCTION("IMPORTRANGE(""https://docs.google.com/spreadsheets/d/1IYY_tgx_IHuhSq3AJ5eI5OnqOPBNLWSHKh2a30DoXe8/edit?usp=sharing"",""สตูล!J373"")"),43)</f>
        <v>43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IFERROR(__xludf.DUMMYFUNCTION("IMPORTRANGE(""https://docs.google.com/spreadsheets/d/1IYY_tgx_IHuhSq3AJ5eI5OnqOPBNLWSHKh2a30DoXe8/edit?usp=sharing"",""สตูล!I374"")"),0)</f>
        <v>0</v>
      </c>
      <c r="J479" s="195">
        <f ca="1">IFERROR(__xludf.DUMMYFUNCTION("IMPORTRANGE(""https://docs.google.com/spreadsheets/d/1IYY_tgx_IHuhSq3AJ5eI5OnqOPBNLWSHKh2a30DoXe8/edit?usp=sharing"",""สตูล!J374"")"),124)</f>
        <v>124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IFERROR(__xludf.DUMMYFUNCTION("IMPORTRANGE(""https://docs.google.com/spreadsheets/d/1IYY_tgx_IHuhSq3AJ5eI5OnqOPBNLWSHKh2a30DoXe8/edit?usp=sharing"",""สตูล!I375"")"),0)</f>
        <v>0</v>
      </c>
      <c r="J480" s="195">
        <f ca="1">IFERROR(__xludf.DUMMYFUNCTION("IMPORTRANGE(""https://docs.google.com/spreadsheets/d/1IYY_tgx_IHuhSq3AJ5eI5OnqOPBNLWSHKh2a30DoXe8/edit?usp=sharing"",""สตูล!J375"")"),20)</f>
        <v>20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IFERROR(__xludf.DUMMYFUNCTION("IMPORTRANGE(""https://docs.google.com/spreadsheets/d/1IYY_tgx_IHuhSq3AJ5eI5OnqOPBNLWSHKh2a30DoXe8/edit?usp=sharing"",""สตูล!I376"")"),9865)</f>
        <v>9865</v>
      </c>
      <c r="J481" s="426">
        <f ca="1">IFERROR(__xludf.DUMMYFUNCTION("IMPORTRANGE(""https://docs.google.com/spreadsheets/d/1IYY_tgx_IHuhSq3AJ5eI5OnqOPBNLWSHKh2a30DoXe8/edit?usp=sharing"",""สตูล!J376"")"),9867)</f>
        <v>9867</v>
      </c>
      <c r="K481" s="208">
        <f t="shared" ca="1" si="117"/>
        <v>100.0202736948809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IFERROR(__xludf.DUMMYFUNCTION("IMPORTRANGE(""https://docs.google.com/spreadsheets/d/1IYY_tgx_IHuhSq3AJ5eI5OnqOPBNLWSHKh2a30DoXe8/edit?usp=sharing"",""สตูล!I377"")"),1411)</f>
        <v>1411</v>
      </c>
      <c r="J482" s="426">
        <f ca="1">IFERROR(__xludf.DUMMYFUNCTION("IMPORTRANGE(""https://docs.google.com/spreadsheets/d/1IYY_tgx_IHuhSq3AJ5eI5OnqOPBNLWSHKh2a30DoXe8/edit?usp=sharing"",""สตูล!J377"")"),1411)</f>
        <v>1411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IFERROR(__xludf.DUMMYFUNCTION("IMPORTRANGE(""https://docs.google.com/spreadsheets/d/1IYY_tgx_IHuhSq3AJ5eI5OnqOPBNLWSHKh2a30DoXe8/edit?usp=sharing"",""สตูล!I378"")"),0)</f>
        <v>0</v>
      </c>
      <c r="J483" s="195">
        <f ca="1">IFERROR(__xludf.DUMMYFUNCTION("IMPORTRANGE(""https://docs.google.com/spreadsheets/d/1IYY_tgx_IHuhSq3AJ5eI5OnqOPBNLWSHKh2a30DoXe8/edit?usp=sharing"",""สตูล!J378"")"),9340)</f>
        <v>9340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IFERROR(__xludf.DUMMYFUNCTION("IMPORTRANGE(""https://docs.google.com/spreadsheets/d/1IYY_tgx_IHuhSq3AJ5eI5OnqOPBNLWSHKh2a30DoXe8/edit?usp=sharing"",""สตูล!I379"")"),0)</f>
        <v>0</v>
      </c>
      <c r="J484" s="195">
        <f ca="1">IFERROR(__xludf.DUMMYFUNCTION("IMPORTRANGE(""https://docs.google.com/spreadsheets/d/1IYY_tgx_IHuhSq3AJ5eI5OnqOPBNLWSHKh2a30DoXe8/edit?usp=sharing"",""สตูล!J379"")"),1348)</f>
        <v>1348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IFERROR(__xludf.DUMMYFUNCTION("IMPORTRANGE(""https://docs.google.com/spreadsheets/d/1IYY_tgx_IHuhSq3AJ5eI5OnqOPBNLWSHKh2a30DoXe8/edit?usp=sharing"",""สตูล!I380"")"),0)</f>
        <v>0</v>
      </c>
      <c r="J485" s="195">
        <f ca="1">IFERROR(__xludf.DUMMYFUNCTION("IMPORTRANGE(""https://docs.google.com/spreadsheets/d/1IYY_tgx_IHuhSq3AJ5eI5OnqOPBNLWSHKh2a30DoXe8/edit?usp=sharing"",""สตูล!J380"")"),403)</f>
        <v>403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IFERROR(__xludf.DUMMYFUNCTION("IMPORTRANGE(""https://docs.google.com/spreadsheets/d/1IYY_tgx_IHuhSq3AJ5eI5OnqOPBNLWSHKh2a30DoXe8/edit?usp=sharing"",""สตูล!I381"")"),0)</f>
        <v>0</v>
      </c>
      <c r="J486" s="195">
        <f ca="1">IFERROR(__xludf.DUMMYFUNCTION("IMPORTRANGE(""https://docs.google.com/spreadsheets/d/1IYY_tgx_IHuhSq3AJ5eI5OnqOPBNLWSHKh2a30DoXe8/edit?usp=sharing"",""สตูล!J381"")"),43)</f>
        <v>43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IFERROR(__xludf.DUMMYFUNCTION("IMPORTRANGE(""https://docs.google.com/spreadsheets/d/1IYY_tgx_IHuhSq3AJ5eI5OnqOPBNLWSHKh2a30DoXe8/edit?usp=sharing"",""สตูล!I382"")"),0)</f>
        <v>0</v>
      </c>
      <c r="J487" s="426">
        <f ca="1">IFERROR(__xludf.DUMMYFUNCTION("IMPORTRANGE(""https://docs.google.com/spreadsheets/d/1IYY_tgx_IHuhSq3AJ5eI5OnqOPBNLWSHKh2a30DoXe8/edit?usp=sharing"",""สตูล!J382"")"),124)</f>
        <v>124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IFERROR(__xludf.DUMMYFUNCTION("IMPORTRANGE(""https://docs.google.com/spreadsheets/d/1IYY_tgx_IHuhSq3AJ5eI5OnqOPBNLWSHKh2a30DoXe8/edit?usp=sharing"",""สตูล!I383"")"),0)</f>
        <v>0</v>
      </c>
      <c r="J488" s="426">
        <f ca="1">IFERROR(__xludf.DUMMYFUNCTION("IMPORTRANGE(""https://docs.google.com/spreadsheets/d/1IYY_tgx_IHuhSq3AJ5eI5OnqOPBNLWSHKh2a30DoXe8/edit?usp=sharing"",""สตูล!J383"")"),20)</f>
        <v>20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IFERROR(__xludf.DUMMYFUNCTION("IMPORTRANGE(""https://docs.google.com/spreadsheets/d/1IYY_tgx_IHuhSq3AJ5eI5OnqOPBNLWSHKh2a30DoXe8/edit?usp=sharing"",""สตูล!I384"")"),0)</f>
        <v>0</v>
      </c>
      <c r="J489" s="195">
        <f ca="1">IFERROR(__xludf.DUMMYFUNCTION("IMPORTRANGE(""https://docs.google.com/spreadsheets/d/1IYY_tgx_IHuhSq3AJ5eI5OnqOPBNLWSHKh2a30DoXe8/edit?usp=sharing"",""สตูล!J384"")"),116)</f>
        <v>116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IFERROR(__xludf.DUMMYFUNCTION("IMPORTRANGE(""https://docs.google.com/spreadsheets/d/1IYY_tgx_IHuhSq3AJ5eI5OnqOPBNLWSHKh2a30DoXe8/edit?usp=sharing"",""สตูล!I385"")"),0)</f>
        <v>0</v>
      </c>
      <c r="J490" s="195">
        <f ca="1">IFERROR(__xludf.DUMMYFUNCTION("IMPORTRANGE(""https://docs.google.com/spreadsheets/d/1IYY_tgx_IHuhSq3AJ5eI5OnqOPBNLWSHKh2a30DoXe8/edit?usp=sharing"",""สตูล!J385"")"),19)</f>
        <v>19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IFERROR(__xludf.DUMMYFUNCTION("IMPORTRANGE(""https://docs.google.com/spreadsheets/d/1IYY_tgx_IHuhSq3AJ5eI5OnqOPBNLWSHKh2a30DoXe8/edit?usp=sharing"",""สตูล!I386"")"),0)</f>
        <v>0</v>
      </c>
      <c r="J491" s="195">
        <f ca="1">IFERROR(__xludf.DUMMYFUNCTION("IMPORTRANGE(""https://docs.google.com/spreadsheets/d/1IYY_tgx_IHuhSq3AJ5eI5OnqOPBNLWSHKh2a30DoXe8/edit?usp=sharing"",""สตูล!J386"")"),8)</f>
        <v>8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IFERROR(__xludf.DUMMYFUNCTION("IMPORTRANGE(""https://docs.google.com/spreadsheets/d/1IYY_tgx_IHuhSq3AJ5eI5OnqOPBNLWSHKh2a30DoXe8/edit?usp=sharing"",""สตูล!I387"")"),0)</f>
        <v>0</v>
      </c>
      <c r="J492" s="195">
        <f ca="1">IFERROR(__xludf.DUMMYFUNCTION("IMPORTRANGE(""https://docs.google.com/spreadsheets/d/1IYY_tgx_IHuhSq3AJ5eI5OnqOPBNLWSHKh2a30DoXe8/edit?usp=sharing"",""สตูล!J387"")"),1)</f>
        <v>1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IFERROR(__xludf.DUMMYFUNCTION("IMPORTRANGE(""https://docs.google.com/spreadsheets/d/1IYY_tgx_IHuhSq3AJ5eI5OnqOPBNLWSHKh2a30DoXe8/edit?usp=sharing"",""สตูล!I388"")"),0)</f>
        <v>0</v>
      </c>
      <c r="J493" s="195">
        <f ca="1">IFERROR(__xludf.DUMMYFUNCTION("IMPORTRANGE(""https://docs.google.com/spreadsheets/d/1IYY_tgx_IHuhSq3AJ5eI5OnqOPBNLWSHKh2a30DoXe8/edit?usp=sharing"",""สตูล!J388"")"),0)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IFERROR(__xludf.DUMMYFUNCTION("IMPORTRANGE(""https://docs.google.com/spreadsheets/d/1IYY_tgx_IHuhSq3AJ5eI5OnqOPBNLWSHKh2a30DoXe8/edit?usp=sharing"",""สตูล!I389"")"),0)</f>
        <v>0</v>
      </c>
      <c r="J494" s="442">
        <f ca="1">IFERROR(__xludf.DUMMYFUNCTION("IMPORTRANGE(""https://docs.google.com/spreadsheets/d/1IYY_tgx_IHuhSq3AJ5eI5OnqOPBNLWSHKh2a30DoXe8/edit?usp=sharing"",""สตูล!J389"")"),0)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IFERROR(__xludf.DUMMYFUNCTION("IMPORTRANGE(""https://docs.google.com/spreadsheets/d/1IYY_tgx_IHuhSq3AJ5eI5OnqOPBNLWSHKh2a30DoXe8/edit?usp=sharing"",""สตูล!I390"")"),0)</f>
        <v>0</v>
      </c>
      <c r="J495" s="442">
        <f ca="1">IFERROR(__xludf.DUMMYFUNCTION("IMPORTRANGE(""https://docs.google.com/spreadsheets/d/1IYY_tgx_IHuhSq3AJ5eI5OnqOPBNLWSHKh2a30DoXe8/edit?usp=sharing"",""สตูล!J390"")"),0)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IFERROR(__xludf.DUMMYFUNCTION("IMPORTRANGE(""https://docs.google.com/spreadsheets/d/1IYY_tgx_IHuhSq3AJ5eI5OnqOPBNLWSHKh2a30DoXe8/edit?usp=sharing"",""สตูล!I391"")"),0)</f>
        <v>0</v>
      </c>
      <c r="J496" s="442">
        <f ca="1">IFERROR(__xludf.DUMMYFUNCTION("IMPORTRANGE(""https://docs.google.com/spreadsheets/d/1IYY_tgx_IHuhSq3AJ5eI5OnqOPBNLWSHKh2a30DoXe8/edit?usp=sharing"",""สตูล!J391"")"),0)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IFERROR(__xludf.DUMMYFUNCTION("IMPORTRANGE(""https://docs.google.com/spreadsheets/d/1IYY_tgx_IHuhSq3AJ5eI5OnqOPBNLWSHKh2a30DoXe8/edit?usp=sharing"",""สตูล!I392"")"),0)</f>
        <v>0</v>
      </c>
      <c r="J497" s="449">
        <f ca="1">IFERROR(__xludf.DUMMYFUNCTION("IMPORTRANGE(""https://docs.google.com/spreadsheets/d/1IYY_tgx_IHuhSq3AJ5eI5OnqOPBNLWSHKh2a30DoXe8/edit?usp=sharing"",""สตูล!J392"")"),0)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IFERROR(__xludf.DUMMYFUNCTION("IMPORTRANGE(""https://docs.google.com/spreadsheets/d/1IYY_tgx_IHuhSq3AJ5eI5OnqOPBNLWSHKh2a30DoXe8/edit?usp=sharing"",""สตูล!I393"")"),0)</f>
        <v>0</v>
      </c>
      <c r="J498" s="426">
        <f ca="1">IFERROR(__xludf.DUMMYFUNCTION("IMPORTRANGE(""https://docs.google.com/spreadsheets/d/1IYY_tgx_IHuhSq3AJ5eI5OnqOPBNLWSHKh2a30DoXe8/edit?usp=sharing"",""สตูล!J393"")"),0)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IFERROR(__xludf.DUMMYFUNCTION("IMPORTRANGE(""https://docs.google.com/spreadsheets/d/1IYY_tgx_IHuhSq3AJ5eI5OnqOPBNLWSHKh2a30DoXe8/edit?usp=sharing"",""สตูล!I394"")"),0)</f>
        <v>0</v>
      </c>
      <c r="J499" s="426">
        <f ca="1">IFERROR(__xludf.DUMMYFUNCTION("IMPORTRANGE(""https://docs.google.com/spreadsheets/d/1IYY_tgx_IHuhSq3AJ5eI5OnqOPBNLWSHKh2a30DoXe8/edit?usp=sharing"",""สตูล!J394"")"),0)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IFERROR(__xludf.DUMMYFUNCTION("IMPORTRANGE(""https://docs.google.com/spreadsheets/d/1IYY_tgx_IHuhSq3AJ5eI5OnqOPBNLWSHKh2a30DoXe8/edit?usp=sharing"",""สตูล!I395"")"),0)</f>
        <v>0</v>
      </c>
      <c r="J500" s="166">
        <f ca="1">IFERROR(__xludf.DUMMYFUNCTION("IMPORTRANGE(""https://docs.google.com/spreadsheets/d/1IYY_tgx_IHuhSq3AJ5eI5OnqOPBNLWSHKh2a30DoXe8/edit?usp=sharing"",""สตูล!J395"")"),0)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IFERROR(__xludf.DUMMYFUNCTION("IMPORTRANGE(""https://docs.google.com/spreadsheets/d/1IYY_tgx_IHuhSq3AJ5eI5OnqOPBNLWSHKh2a30DoXe8/edit?usp=sharing"",""สตูล!I396"")"),0)</f>
        <v>0</v>
      </c>
      <c r="J501" s="166">
        <f ca="1">IFERROR(__xludf.DUMMYFUNCTION("IMPORTRANGE(""https://docs.google.com/spreadsheets/d/1IYY_tgx_IHuhSq3AJ5eI5OnqOPBNLWSHKh2a30DoXe8/edit?usp=sharing"",""สตูล!J396"")"),0)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IFERROR(__xludf.DUMMYFUNCTION("IMPORTRANGE(""https://docs.google.com/spreadsheets/d/1IYY_tgx_IHuhSq3AJ5eI5OnqOPBNLWSHKh2a30DoXe8/edit?usp=sharing"",""สตูล!I397"")"),0)</f>
        <v>0</v>
      </c>
      <c r="J502" s="195">
        <f ca="1">IFERROR(__xludf.DUMMYFUNCTION("IMPORTRANGE(""https://docs.google.com/spreadsheets/d/1IYY_tgx_IHuhSq3AJ5eI5OnqOPBNLWSHKh2a30DoXe8/edit?usp=sharing"",""สตูล!J397"")"),0)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IFERROR(__xludf.DUMMYFUNCTION("IMPORTRANGE(""https://docs.google.com/spreadsheets/d/1IYY_tgx_IHuhSq3AJ5eI5OnqOPBNLWSHKh2a30DoXe8/edit?usp=sharing"",""สตูล!I398"")"),0)</f>
        <v>0</v>
      </c>
      <c r="J503" s="204">
        <f ca="1">IFERROR(__xludf.DUMMYFUNCTION("IMPORTRANGE(""https://docs.google.com/spreadsheets/d/1IYY_tgx_IHuhSq3AJ5eI5OnqOPBNLWSHKh2a30DoXe8/edit?usp=sharing"",""สตูล!J398"")"),0)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IFERROR(__xludf.DUMMYFUNCTION("IMPORTRANGE(""https://docs.google.com/spreadsheets/d/1IYY_tgx_IHuhSq3AJ5eI5OnqOPBNLWSHKh2a30DoXe8/edit?usp=sharing"",""สตูล!I399"")"),0)</f>
        <v>0</v>
      </c>
      <c r="J504" s="195">
        <f ca="1">IFERROR(__xludf.DUMMYFUNCTION("IMPORTRANGE(""https://docs.google.com/spreadsheets/d/1IYY_tgx_IHuhSq3AJ5eI5OnqOPBNLWSHKh2a30DoXe8/edit?usp=sharing"",""สตูล!J399"")"),0)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IFERROR(__xludf.DUMMYFUNCTION("IMPORTRANGE(""https://docs.google.com/spreadsheets/d/1IYY_tgx_IHuhSq3AJ5eI5OnqOPBNLWSHKh2a30DoXe8/edit?usp=sharing"",""สตูล!I400"")"),0)</f>
        <v>0</v>
      </c>
      <c r="J505" s="204">
        <f ca="1">IFERROR(__xludf.DUMMYFUNCTION("IMPORTRANGE(""https://docs.google.com/spreadsheets/d/1IYY_tgx_IHuhSq3AJ5eI5OnqOPBNLWSHKh2a30DoXe8/edit?usp=sharing"",""สตูล!J400"")"),0)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IFERROR(__xludf.DUMMYFUNCTION("IMPORTRANGE(""https://docs.google.com/spreadsheets/d/1IYY_tgx_IHuhSq3AJ5eI5OnqOPBNLWSHKh2a30DoXe8/edit?usp=sharing"",""สตูล!I401"")"),0)</f>
        <v>0</v>
      </c>
      <c r="J506" s="195">
        <f ca="1">IFERROR(__xludf.DUMMYFUNCTION("IMPORTRANGE(""https://docs.google.com/spreadsheets/d/1IYY_tgx_IHuhSq3AJ5eI5OnqOPBNLWSHKh2a30DoXe8/edit?usp=sharing"",""สตูล!J401"")"),0)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IFERROR(__xludf.DUMMYFUNCTION("IMPORTRANGE(""https://docs.google.com/spreadsheets/d/1IYY_tgx_IHuhSq3AJ5eI5OnqOPBNLWSHKh2a30DoXe8/edit?usp=sharing"",""สตูล!I402"")"),0)</f>
        <v>0</v>
      </c>
      <c r="J507" s="204">
        <f ca="1">IFERROR(__xludf.DUMMYFUNCTION("IMPORTRANGE(""https://docs.google.com/spreadsheets/d/1IYY_tgx_IHuhSq3AJ5eI5OnqOPBNLWSHKh2a30DoXe8/edit?usp=sharing"",""สตูล!J402"")"),0)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IFERROR(__xludf.DUMMYFUNCTION("IMPORTRANGE(""https://docs.google.com/spreadsheets/d/1IYY_tgx_IHuhSq3AJ5eI5OnqOPBNLWSHKh2a30DoXe8/edit?usp=sharing"",""สตูล!I403"")"),0)</f>
        <v>0</v>
      </c>
      <c r="J508" s="166">
        <f ca="1">IFERROR(__xludf.DUMMYFUNCTION("IMPORTRANGE(""https://docs.google.com/spreadsheets/d/1IYY_tgx_IHuhSq3AJ5eI5OnqOPBNLWSHKh2a30DoXe8/edit?usp=sharing"",""สตูล!J403"")"),0)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IFERROR(__xludf.DUMMYFUNCTION("IMPORTRANGE(""https://docs.google.com/spreadsheets/d/1IYY_tgx_IHuhSq3AJ5eI5OnqOPBNLWSHKh2a30DoXe8/edit?usp=sharing"",""สตูล!I404"")"),0)</f>
        <v>0</v>
      </c>
      <c r="J509" s="166">
        <f ca="1">IFERROR(__xludf.DUMMYFUNCTION("IMPORTRANGE(""https://docs.google.com/spreadsheets/d/1IYY_tgx_IHuhSq3AJ5eI5OnqOPBNLWSHKh2a30DoXe8/edit?usp=sharing"",""สตูล!J404"")"),0)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IFERROR(__xludf.DUMMYFUNCTION("IMPORTRANGE(""https://docs.google.com/spreadsheets/d/1IYY_tgx_IHuhSq3AJ5eI5OnqOPBNLWSHKh2a30DoXe8/edit?usp=sharing"",""สตูล!I405"")"),0)</f>
        <v>0</v>
      </c>
      <c r="J510" s="204">
        <f ca="1">IFERROR(__xludf.DUMMYFUNCTION("IMPORTRANGE(""https://docs.google.com/spreadsheets/d/1IYY_tgx_IHuhSq3AJ5eI5OnqOPBNLWSHKh2a30DoXe8/edit?usp=sharing"",""สตูล!J405"")"),0)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IFERROR(__xludf.DUMMYFUNCTION("IMPORTRANGE(""https://docs.google.com/spreadsheets/d/1IYY_tgx_IHuhSq3AJ5eI5OnqOPBNLWSHKh2a30DoXe8/edit?usp=sharing"",""สตูล!I406"")"),0)</f>
        <v>0</v>
      </c>
      <c r="J511" s="204">
        <f ca="1">IFERROR(__xludf.DUMMYFUNCTION("IMPORTRANGE(""https://docs.google.com/spreadsheets/d/1IYY_tgx_IHuhSq3AJ5eI5OnqOPBNLWSHKh2a30DoXe8/edit?usp=sharing"",""สตูล!J406"")"),0)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IFERROR(__xludf.DUMMYFUNCTION("IMPORTRANGE(""https://docs.google.com/spreadsheets/d/1IYY_tgx_IHuhSq3AJ5eI5OnqOPBNLWSHKh2a30DoXe8/edit?usp=sharing"",""สตูล!I407"")"),0)</f>
        <v>0</v>
      </c>
      <c r="J512" s="204">
        <f ca="1">IFERROR(__xludf.DUMMYFUNCTION("IMPORTRANGE(""https://docs.google.com/spreadsheets/d/1IYY_tgx_IHuhSq3AJ5eI5OnqOPBNLWSHKh2a30DoXe8/edit?usp=sharing"",""สตูล!J407"")"),0)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IFERROR(__xludf.DUMMYFUNCTION("IMPORTRANGE(""https://docs.google.com/spreadsheets/d/1IYY_tgx_IHuhSq3AJ5eI5OnqOPBNLWSHKh2a30DoXe8/edit?usp=sharing"",""สตูล!I408"")"),0)</f>
        <v>0</v>
      </c>
      <c r="J513" s="204">
        <f ca="1">IFERROR(__xludf.DUMMYFUNCTION("IMPORTRANGE(""https://docs.google.com/spreadsheets/d/1IYY_tgx_IHuhSq3AJ5eI5OnqOPBNLWSHKh2a30DoXe8/edit?usp=sharing"",""สตูล!J408"")"),0)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IFERROR(__xludf.DUMMYFUNCTION("IMPORTRANGE(""https://docs.google.com/spreadsheets/d/1IYY_tgx_IHuhSq3AJ5eI5OnqOPBNLWSHKh2a30DoXe8/edit?usp=sharing"",""สตูล!I409"")"),0)</f>
        <v>0</v>
      </c>
      <c r="J514" s="204">
        <f ca="1">IFERROR(__xludf.DUMMYFUNCTION("IMPORTRANGE(""https://docs.google.com/spreadsheets/d/1IYY_tgx_IHuhSq3AJ5eI5OnqOPBNLWSHKh2a30DoXe8/edit?usp=sharing"",""สตูล!J409"")"),0)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IFERROR(__xludf.DUMMYFUNCTION("IMPORTRANGE(""https://docs.google.com/spreadsheets/d/1IYY_tgx_IHuhSq3AJ5eI5OnqOPBNLWSHKh2a30DoXe8/edit?usp=sharing"",""สตูล!I410"")"),0)</f>
        <v>0</v>
      </c>
      <c r="J515" s="204">
        <f ca="1">IFERROR(__xludf.DUMMYFUNCTION("IMPORTRANGE(""https://docs.google.com/spreadsheets/d/1IYY_tgx_IHuhSq3AJ5eI5OnqOPBNLWSHKh2a30DoXe8/edit?usp=sharing"",""สตูล!J410"")"),0)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IFERROR(__xludf.DUMMYFUNCTION("IMPORTRANGE(""https://docs.google.com/spreadsheets/d/1IYY_tgx_IHuhSq3AJ5eI5OnqOPBNLWSHKh2a30DoXe8/edit?usp=sharing"",""สตูล!I411"")"),0)</f>
        <v>0</v>
      </c>
      <c r="J516" s="273">
        <f ca="1">IFERROR(__xludf.DUMMYFUNCTION("IMPORTRANGE(""https://docs.google.com/spreadsheets/d/1IYY_tgx_IHuhSq3AJ5eI5OnqOPBNLWSHKh2a30DoXe8/edit?usp=sharing"",""สตูล!J411"")"),0)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IFERROR(__xludf.DUMMYFUNCTION("IMPORTRANGE(""https://docs.google.com/spreadsheets/d/1IYY_tgx_IHuhSq3AJ5eI5OnqOPBNLWSHKh2a30DoXe8/edit?usp=sharing"",""สตูล!I412"")"),0)</f>
        <v>0</v>
      </c>
      <c r="J517" s="290">
        <f ca="1">IFERROR(__xludf.DUMMYFUNCTION("IMPORTRANGE(""https://docs.google.com/spreadsheets/d/1IYY_tgx_IHuhSq3AJ5eI5OnqOPBNLWSHKh2a30DoXe8/edit?usp=sharing"",""สตูล!J412"")"),0)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IFERROR(__xludf.DUMMYFUNCTION("IMPORTRANGE(""https://docs.google.com/spreadsheets/d/1IYY_tgx_IHuhSq3AJ5eI5OnqOPBNLWSHKh2a30DoXe8/edit?usp=sharing"",""สตูล!I413"")"),0)</f>
        <v>0</v>
      </c>
      <c r="J518" s="290">
        <f ca="1">IFERROR(__xludf.DUMMYFUNCTION("IMPORTRANGE(""https://docs.google.com/spreadsheets/d/1IYY_tgx_IHuhSq3AJ5eI5OnqOPBNLWSHKh2a30DoXe8/edit?usp=sharing"",""สตูล!J413"")"),0)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IFERROR(__xludf.DUMMYFUNCTION("IMPORTRANGE(""https://docs.google.com/spreadsheets/d/1IYY_tgx_IHuhSq3AJ5eI5OnqOPBNLWSHKh2a30DoXe8/edit?usp=sharing"",""สตูล!I414"")"),0)</f>
        <v>0</v>
      </c>
      <c r="J519" s="194">
        <f ca="1">IFERROR(__xludf.DUMMYFUNCTION("IMPORTRANGE(""https://docs.google.com/spreadsheets/d/1IYY_tgx_IHuhSq3AJ5eI5OnqOPBNLWSHKh2a30DoXe8/edit?usp=sharing"",""สตูล!J414"")"),0)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IFERROR(__xludf.DUMMYFUNCTION("IMPORTRANGE(""https://docs.google.com/spreadsheets/d/1IYY_tgx_IHuhSq3AJ5eI5OnqOPBNLWSHKh2a30DoXe8/edit?usp=sharing"",""สตูล!I415"")"),0)</f>
        <v>0</v>
      </c>
      <c r="J520" s="194">
        <f ca="1">IFERROR(__xludf.DUMMYFUNCTION("IMPORTRANGE(""https://docs.google.com/spreadsheets/d/1IYY_tgx_IHuhSq3AJ5eI5OnqOPBNLWSHKh2a30DoXe8/edit?usp=sharing"",""สตูล!J415"")"),0)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IFERROR(__xludf.DUMMYFUNCTION("IMPORTRANGE(""https://docs.google.com/spreadsheets/d/1IYY_tgx_IHuhSq3AJ5eI5OnqOPBNLWSHKh2a30DoXe8/edit?usp=sharing"",""สตูล!I416"")"),0)</f>
        <v>0</v>
      </c>
      <c r="J521" s="194">
        <f ca="1">IFERROR(__xludf.DUMMYFUNCTION("IMPORTRANGE(""https://docs.google.com/spreadsheets/d/1IYY_tgx_IHuhSq3AJ5eI5OnqOPBNLWSHKh2a30DoXe8/edit?usp=sharing"",""สตูล!J416"")"),0)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IFERROR(__xludf.DUMMYFUNCTION("IMPORTRANGE(""https://docs.google.com/spreadsheets/d/1IYY_tgx_IHuhSq3AJ5eI5OnqOPBNLWSHKh2a30DoXe8/edit?usp=sharing"",""สตูล!I417"")"),0)</f>
        <v>0</v>
      </c>
      <c r="J522" s="194">
        <f ca="1">IFERROR(__xludf.DUMMYFUNCTION("IMPORTRANGE(""https://docs.google.com/spreadsheets/d/1IYY_tgx_IHuhSq3AJ5eI5OnqOPBNLWSHKh2a30DoXe8/edit?usp=sharing"",""สตูล!J417"")"),0)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IFERROR(__xludf.DUMMYFUNCTION("IMPORTRANGE(""https://docs.google.com/spreadsheets/d/1IYY_tgx_IHuhSq3AJ5eI5OnqOPBNLWSHKh2a30DoXe8/edit?usp=sharing"",""สตูล!I418"")"),0)</f>
        <v>0</v>
      </c>
      <c r="J523" s="194">
        <f ca="1">IFERROR(__xludf.DUMMYFUNCTION("IMPORTRANGE(""https://docs.google.com/spreadsheets/d/1IYY_tgx_IHuhSq3AJ5eI5OnqOPBNLWSHKh2a30DoXe8/edit?usp=sharing"",""สตูล!J418"")"),2)</f>
        <v>2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IFERROR(__xludf.DUMMYFUNCTION("IMPORTRANGE(""https://docs.google.com/spreadsheets/d/1IYY_tgx_IHuhSq3AJ5eI5OnqOPBNLWSHKh2a30DoXe8/edit?usp=sharing"",""สตูล!I419"")"),0)</f>
        <v>0</v>
      </c>
      <c r="J524" s="194">
        <f ca="1">IFERROR(__xludf.DUMMYFUNCTION("IMPORTRANGE(""https://docs.google.com/spreadsheets/d/1IYY_tgx_IHuhSq3AJ5eI5OnqOPBNLWSHKh2a30DoXe8/edit?usp=sharing"",""สตูล!J419"")"),1)</f>
        <v>1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IFERROR(__xludf.DUMMYFUNCTION("IMPORTRANGE(""https://docs.google.com/spreadsheets/d/1IYY_tgx_IHuhSq3AJ5eI5OnqOPBNLWSHKh2a30DoXe8/edit?usp=sharing"",""สตูล!I420"")"),2)</f>
        <v>2</v>
      </c>
      <c r="J525" s="290">
        <f ca="1">IFERROR(__xludf.DUMMYFUNCTION("IMPORTRANGE(""https://docs.google.com/spreadsheets/d/1IYY_tgx_IHuhSq3AJ5eI5OnqOPBNLWSHKh2a30DoXe8/edit?usp=sharing"",""สตูล!J420"")"),0)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IFERROR(__xludf.DUMMYFUNCTION("IMPORTRANGE(""https://docs.google.com/spreadsheets/d/1IYY_tgx_IHuhSq3AJ5eI5OnqOPBNLWSHKh2a30DoXe8/edit?usp=sharing"",""สตูล!I421"")"),1)</f>
        <v>1</v>
      </c>
      <c r="J526" s="290">
        <f ca="1">IFERROR(__xludf.DUMMYFUNCTION("IMPORTRANGE(""https://docs.google.com/spreadsheets/d/1IYY_tgx_IHuhSq3AJ5eI5OnqOPBNLWSHKh2a30DoXe8/edit?usp=sharing"",""สตูล!J421"")"),0)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IFERROR(__xludf.DUMMYFUNCTION("IMPORTRANGE(""https://docs.google.com/spreadsheets/d/1IYY_tgx_IHuhSq3AJ5eI5OnqOPBNLWSHKh2a30DoXe8/edit?usp=sharing"",""สตูล!I422"")"),0)</f>
        <v>0</v>
      </c>
      <c r="J527" s="204">
        <f ca="1">IFERROR(__xludf.DUMMYFUNCTION("IMPORTRANGE(""https://docs.google.com/spreadsheets/d/1IYY_tgx_IHuhSq3AJ5eI5OnqOPBNLWSHKh2a30DoXe8/edit?usp=sharing"",""สตูล!J422"")"),0)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IFERROR(__xludf.DUMMYFUNCTION("IMPORTRANGE(""https://docs.google.com/spreadsheets/d/1IYY_tgx_IHuhSq3AJ5eI5OnqOPBNLWSHKh2a30DoXe8/edit?usp=sharing"",""สตูล!I423"")"),0)</f>
        <v>0</v>
      </c>
      <c r="J528" s="204">
        <f ca="1">IFERROR(__xludf.DUMMYFUNCTION("IMPORTRANGE(""https://docs.google.com/spreadsheets/d/1IYY_tgx_IHuhSq3AJ5eI5OnqOPBNLWSHKh2a30DoXe8/edit?usp=sharing"",""สตูล!J423"")"),0)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IFERROR(__xludf.DUMMYFUNCTION("IMPORTRANGE(""https://docs.google.com/spreadsheets/d/1IYY_tgx_IHuhSq3AJ5eI5OnqOPBNLWSHKh2a30DoXe8/edit?usp=sharing"",""สตูล!I424"")"),0)</f>
        <v>0</v>
      </c>
      <c r="J529" s="204">
        <f ca="1">IFERROR(__xludf.DUMMYFUNCTION("IMPORTRANGE(""https://docs.google.com/spreadsheets/d/1IYY_tgx_IHuhSq3AJ5eI5OnqOPBNLWSHKh2a30DoXe8/edit?usp=sharing"",""สตูล!J424"")"),0)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IFERROR(__xludf.DUMMYFUNCTION("IMPORTRANGE(""https://docs.google.com/spreadsheets/d/1IYY_tgx_IHuhSq3AJ5eI5OnqOPBNLWSHKh2a30DoXe8/edit?usp=sharing"",""สตูล!I425"")"),0)</f>
        <v>0</v>
      </c>
      <c r="J530" s="204">
        <f ca="1">IFERROR(__xludf.DUMMYFUNCTION("IMPORTRANGE(""https://docs.google.com/spreadsheets/d/1IYY_tgx_IHuhSq3AJ5eI5OnqOPBNLWSHKh2a30DoXe8/edit?usp=sharing"",""สตูล!J425"")"),0)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IFERROR(__xludf.DUMMYFUNCTION("IMPORTRANGE(""https://docs.google.com/spreadsheets/d/1IYY_tgx_IHuhSq3AJ5eI5OnqOPBNLWSHKh2a30DoXe8/edit?usp=sharing"",""สตูล!I426"")"),0)</f>
        <v>0</v>
      </c>
      <c r="J531" s="204">
        <f ca="1">IFERROR(__xludf.DUMMYFUNCTION("IMPORTRANGE(""https://docs.google.com/spreadsheets/d/1IYY_tgx_IHuhSq3AJ5eI5OnqOPBNLWSHKh2a30DoXe8/edit?usp=sharing"",""สตูล!J426"")"),0)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IFERROR(__xludf.DUMMYFUNCTION("IMPORTRANGE(""https://docs.google.com/spreadsheets/d/1IYY_tgx_IHuhSq3AJ5eI5OnqOPBNLWSHKh2a30DoXe8/edit?usp=sharing"",""สตูล!I427"")"),0)</f>
        <v>0</v>
      </c>
      <c r="J532" s="472">
        <f ca="1">IFERROR(__xludf.DUMMYFUNCTION("IMPORTRANGE(""https://docs.google.com/spreadsheets/d/1IYY_tgx_IHuhSq3AJ5eI5OnqOPBNLWSHKh2a30DoXe8/edit?usp=sharing"",""สตูล!J427"")"),0)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IFERROR(__xludf.DUMMYFUNCTION("IMPORTRANGE(""https://docs.google.com/spreadsheets/d/1IYY_tgx_IHuhSq3AJ5eI5OnqOPBNLWSHKh2a30DoXe8/edit?usp=sharing"",""สตูล!I428"")"),20)</f>
        <v>20</v>
      </c>
      <c r="J533" s="416">
        <f ca="1">IFERROR(__xludf.DUMMYFUNCTION("IMPORTRANGE(""https://docs.google.com/spreadsheets/d/1IYY_tgx_IHuhSq3AJ5eI5OnqOPBNLWSHKh2a30DoXe8/edit?usp=sharing"",""สตูล!J428"")"),20)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IFERROR(__xludf.DUMMYFUNCTION("IMPORTRANGE(""https://docs.google.com/spreadsheets/d/1IYY_tgx_IHuhSq3AJ5eI5OnqOPBNLWSHKh2a30DoXe8/edit?usp=sharing"",""สตูล!L428"")"),32640)</f>
        <v>32640</v>
      </c>
      <c r="M533" s="418"/>
      <c r="N533" s="418">
        <f ca="1">IFERROR(__xludf.DUMMYFUNCTION("IMPORTRANGE(""https://docs.google.com/spreadsheets/d/1IYY_tgx_IHuhSq3AJ5eI5OnqOPBNLWSHKh2a30DoXe8/edit?usp=sharing"",""สตูล!M428"")"),25360)</f>
        <v>25360</v>
      </c>
      <c r="O533" s="418">
        <f t="shared" ref="O533:O537" ca="1" si="118">+IF(L533&gt;0,N533*100/L533,0)</f>
        <v>77.696078431372555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IFERROR(__xludf.DUMMYFUNCTION("IMPORTRANGE(""https://docs.google.com/spreadsheets/d/1IYY_tgx_IHuhSq3AJ5eI5OnqOPBNLWSHKh2a30DoXe8/edit?usp=sharing"",""สตูล!L429"")"),0)</f>
        <v>0</v>
      </c>
      <c r="M534" s="168"/>
      <c r="N534" s="175">
        <f ca="1">IFERROR(__xludf.DUMMYFUNCTION("IMPORTRANGE(""https://docs.google.com/spreadsheets/d/1IYY_tgx_IHuhSq3AJ5eI5OnqOPBNLWSHKh2a30DoXe8/edit?usp=sharing"",""สตูล!M429"")"),0)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IFERROR(__xludf.DUMMYFUNCTION("IMPORTRANGE(""https://docs.google.com/spreadsheets/d/1IYY_tgx_IHuhSq3AJ5eI5OnqOPBNLWSHKh2a30DoXe8/edit?usp=sharing"",""สตูล!L430"")"),32640)</f>
        <v>32640</v>
      </c>
      <c r="M535" s="169"/>
      <c r="N535" s="175">
        <f ca="1">IFERROR(__xludf.DUMMYFUNCTION("IMPORTRANGE(""https://docs.google.com/spreadsheets/d/1IYY_tgx_IHuhSq3AJ5eI5OnqOPBNLWSHKh2a30DoXe8/edit?usp=sharing"",""สตูล!M430"")"),25360)</f>
        <v>25360</v>
      </c>
      <c r="O535" s="175">
        <f t="shared" ca="1" si="118"/>
        <v>77.696078431372555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IFERROR(__xludf.DUMMYFUNCTION("IMPORTRANGE(""https://docs.google.com/spreadsheets/d/1IYY_tgx_IHuhSq3AJ5eI5OnqOPBNLWSHKh2a30DoXe8/edit?usp=sharing"",""สตูล!L431"")"),0)</f>
        <v>0</v>
      </c>
      <c r="M536" s="175"/>
      <c r="N536" s="175">
        <f ca="1">IFERROR(__xludf.DUMMYFUNCTION("IMPORTRANGE(""https://docs.google.com/spreadsheets/d/1IYY_tgx_IHuhSq3AJ5eI5OnqOPBNLWSHKh2a30DoXe8/edit?usp=sharing"",""สตูล!M431"")"),0)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IFERROR(__xludf.DUMMYFUNCTION("IMPORTRANGE(""https://docs.google.com/spreadsheets/d/1IYY_tgx_IHuhSq3AJ5eI5OnqOPBNLWSHKh2a30DoXe8/edit?usp=sharing"",""สตูล!L432"")"),32640)</f>
        <v>32640</v>
      </c>
      <c r="M537" s="175"/>
      <c r="N537" s="175">
        <f ca="1">IFERROR(__xludf.DUMMYFUNCTION("IMPORTRANGE(""https://docs.google.com/spreadsheets/d/1IYY_tgx_IHuhSq3AJ5eI5OnqOPBNLWSHKh2a30DoXe8/edit?usp=sharing"",""สตูล!M432"")"),25360)</f>
        <v>25360</v>
      </c>
      <c r="O537" s="175">
        <f t="shared" ca="1" si="118"/>
        <v>77.696078431372555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IFERROR(__xludf.DUMMYFUNCTION("IMPORTRANGE(""https://docs.google.com/spreadsheets/d/1IYY_tgx_IHuhSq3AJ5eI5OnqOPBNLWSHKh2a30DoXe8/edit?usp=sharing"",""สตูล!M433"")"),17040)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IFERROR(__xludf.DUMMYFUNCTION("IMPORTRANGE(""https://docs.google.com/spreadsheets/d/1IYY_tgx_IHuhSq3AJ5eI5OnqOPBNLWSHKh2a30DoXe8/edit?usp=sharing"",""สตูล!M434"")"),0)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IFERROR(__xludf.DUMMYFUNCTION("IMPORTRANGE(""https://docs.google.com/spreadsheets/d/1IYY_tgx_IHuhSq3AJ5eI5OnqOPBNLWSHKh2a30DoXe8/edit?usp=sharing"",""สตูล!M435"")"),0)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IFERROR(__xludf.DUMMYFUNCTION("IMPORTRANGE(""https://docs.google.com/spreadsheets/d/1IYY_tgx_IHuhSq3AJ5eI5OnqOPBNLWSHKh2a30DoXe8/edit?usp=sharing"",""สตูล!M436"")"),8320)</f>
        <v>8320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IFERROR(__xludf.DUMMYFUNCTION("IMPORTRANGE(""https://docs.google.com/spreadsheets/d/1IYY_tgx_IHuhSq3AJ5eI5OnqOPBNLWSHKh2a30DoXe8/edit?usp=sharing"",""สตูล!J438"")"),0)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IFERROR(__xludf.DUMMYFUNCTION("IMPORTRANGE(""https://docs.google.com/spreadsheets/d/1IYY_tgx_IHuhSq3AJ5eI5OnqOPBNLWSHKh2a30DoXe8/edit?usp=sharing"",""สตูล!J439"")"),1)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IFERROR(__xludf.DUMMYFUNCTION("IMPORTRANGE(""https://docs.google.com/spreadsheets/d/1IYY_tgx_IHuhSq3AJ5eI5OnqOPBNLWSHKh2a30DoXe8/edit?usp=sharing"",""สตูล!J440"")"),1)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IFERROR(__xludf.DUMMYFUNCTION("IMPORTRANGE(""https://docs.google.com/spreadsheets/d/1IYY_tgx_IHuhSq3AJ5eI5OnqOPBNLWSHKh2a30DoXe8/edit?usp=sharing"",""สตูล!J441"")"),1)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IFERROR(__xludf.DUMMYFUNCTION("IMPORTRANGE(""https://docs.google.com/spreadsheets/d/1IYY_tgx_IHuhSq3AJ5eI5OnqOPBNLWSHKh2a30DoXe8/edit?usp=sharing"",""สตูล!I442"")"),20)</f>
        <v>20</v>
      </c>
      <c r="J547" s="195">
        <f ca="1">IFERROR(__xludf.DUMMYFUNCTION("IMPORTRANGE(""https://docs.google.com/spreadsheets/d/1IYY_tgx_IHuhSq3AJ5eI5OnqOPBNLWSHKh2a30DoXe8/edit?usp=sharing"",""สตูล!J442"")"),20)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IFERROR(__xludf.DUMMYFUNCTION("IMPORTRANGE(""https://docs.google.com/spreadsheets/d/1IYY_tgx_IHuhSq3AJ5eI5OnqOPBNLWSHKh2a30DoXe8/edit?usp=sharing"",""สตูล!J166"")"),0)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IFERROR(__xludf.DUMMYFUNCTION("IMPORTRANGE(""https://docs.google.com/spreadsheets/d/1IYY_tgx_IHuhSq3AJ5eI5OnqOPBNLWSHKh2a30DoXe8/edit?usp=sharing"",""สตูล!J444"")"),0)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IFERROR(__xludf.DUMMYFUNCTION("IMPORTRANGE(""https://docs.google.com/spreadsheets/d/1IYY_tgx_IHuhSq3AJ5eI5OnqOPBNLWSHKh2a30DoXe8/edit?usp=sharing"",""สตูล!J445"")"),0)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IFERROR(__xludf.DUMMYFUNCTION("IMPORTRANGE(""https://docs.google.com/spreadsheets/d/1IYY_tgx_IHuhSq3AJ5eI5OnqOPBNLWSHKh2a30DoXe8/edit?usp=sharing"",""สตูล!I446"")"),0)</f>
        <v>0</v>
      </c>
      <c r="J551" s="416">
        <f ca="1">IFERROR(__xludf.DUMMYFUNCTION("IMPORTRANGE(""https://docs.google.com/spreadsheets/d/1IYY_tgx_IHuhSq3AJ5eI5OnqOPBNLWSHKh2a30DoXe8/edit?usp=sharing"",""สตูล!J446"")"),0)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IFERROR(__xludf.DUMMYFUNCTION("IMPORTRANGE(""https://docs.google.com/spreadsheets/d/1IYY_tgx_IHuhSq3AJ5eI5OnqOPBNLWSHKh2a30DoXe8/edit?usp=sharing"",""สตูล!L446"")"),0)</f>
        <v>0</v>
      </c>
      <c r="M551" s="418"/>
      <c r="N551" s="418">
        <f ca="1">IFERROR(__xludf.DUMMYFUNCTION("IMPORTRANGE(""https://docs.google.com/spreadsheets/d/1IYY_tgx_IHuhSq3AJ5eI5OnqOPBNLWSHKh2a30DoXe8/edit?usp=sharing"",""สตูล!M446"")"),0)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IFERROR(__xludf.DUMMYFUNCTION("IMPORTRANGE(""https://docs.google.com/spreadsheets/d/1IYY_tgx_IHuhSq3AJ5eI5OnqOPBNLWSHKh2a30DoXe8/edit?usp=sharing"",""สตูล!L447"")"),0)</f>
        <v>0</v>
      </c>
      <c r="M552" s="168"/>
      <c r="N552" s="175">
        <f ca="1">IFERROR(__xludf.DUMMYFUNCTION("IMPORTRANGE(""https://docs.google.com/spreadsheets/d/1IYY_tgx_IHuhSq3AJ5eI5OnqOPBNLWSHKh2a30DoXe8/edit?usp=sharing"",""สตูล!M447"")"),0)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IFERROR(__xludf.DUMMYFUNCTION("IMPORTRANGE(""https://docs.google.com/spreadsheets/d/1IYY_tgx_IHuhSq3AJ5eI5OnqOPBNLWSHKh2a30DoXe8/edit?usp=sharing"",""สตูล!L448"")"),0)</f>
        <v>0</v>
      </c>
      <c r="M553" s="169"/>
      <c r="N553" s="175">
        <f ca="1">IFERROR(__xludf.DUMMYFUNCTION("IMPORTRANGE(""https://docs.google.com/spreadsheets/d/1IYY_tgx_IHuhSq3AJ5eI5OnqOPBNLWSHKh2a30DoXe8/edit?usp=sharing"",""สตูล!M448"")"),0)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IFERROR(__xludf.DUMMYFUNCTION("IMPORTRANGE(""https://docs.google.com/spreadsheets/d/1IYY_tgx_IHuhSq3AJ5eI5OnqOPBNLWSHKh2a30DoXe8/edit?usp=sharing"",""สตูล!L449"")"),0)</f>
        <v>0</v>
      </c>
      <c r="M554" s="175"/>
      <c r="N554" s="175">
        <f ca="1">IFERROR(__xludf.DUMMYFUNCTION("IMPORTRANGE(""https://docs.google.com/spreadsheets/d/1IYY_tgx_IHuhSq3AJ5eI5OnqOPBNLWSHKh2a30DoXe8/edit?usp=sharing"",""สตูล!M449"")"),0)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IFERROR(__xludf.DUMMYFUNCTION("IMPORTRANGE(""https://docs.google.com/spreadsheets/d/1IYY_tgx_IHuhSq3AJ5eI5OnqOPBNLWSHKh2a30DoXe8/edit?usp=sharing"",""สตูล!L450"")"),0)</f>
        <v>0</v>
      </c>
      <c r="M555" s="175"/>
      <c r="N555" s="175">
        <f ca="1">IFERROR(__xludf.DUMMYFUNCTION("IMPORTRANGE(""https://docs.google.com/spreadsheets/d/1IYY_tgx_IHuhSq3AJ5eI5OnqOPBNLWSHKh2a30DoXe8/edit?usp=sharing"",""สตูล!M450"")"),0)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IFERROR(__xludf.DUMMYFUNCTION("IMPORTRANGE(""https://docs.google.com/spreadsheets/d/1IYY_tgx_IHuhSq3AJ5eI5OnqOPBNLWSHKh2a30DoXe8/edit?usp=sharing"",""สตูล!M451"")"),0)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IFERROR(__xludf.DUMMYFUNCTION("IMPORTRANGE(""https://docs.google.com/spreadsheets/d/1IYY_tgx_IHuhSq3AJ5eI5OnqOPBNLWSHKh2a30DoXe8/edit?usp=sharing"",""สตูล!M452"")"),0)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IFERROR(__xludf.DUMMYFUNCTION("IMPORTRANGE(""https://docs.google.com/spreadsheets/d/1IYY_tgx_IHuhSq3AJ5eI5OnqOPBNLWSHKh2a30DoXe8/edit?usp=sharing"",""สตูล!M453"")"),0)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IFERROR(__xludf.DUMMYFUNCTION("IMPORTRANGE(""https://docs.google.com/spreadsheets/d/1IYY_tgx_IHuhSq3AJ5eI5OnqOPBNLWSHKh2a30DoXe8/edit?usp=sharing"",""สตูล!M454"")"),0)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IFERROR(__xludf.DUMMYFUNCTION("IMPORTRANGE(""https://docs.google.com/spreadsheets/d/1IYY_tgx_IHuhSq3AJ5eI5OnqOPBNLWSHKh2a30DoXe8/edit?usp=sharing"",""สตูล!I455"")"),0)</f>
        <v>0</v>
      </c>
      <c r="J560" s="166">
        <f ca="1">IFERROR(__xludf.DUMMYFUNCTION("IMPORTRANGE(""https://docs.google.com/spreadsheets/d/1IYY_tgx_IHuhSq3AJ5eI5OnqOPBNLWSHKh2a30DoXe8/edit?usp=sharing"",""สตูล!J455"")"),0)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IFERROR(__xludf.DUMMYFUNCTION("IMPORTRANGE(""https://docs.google.com/spreadsheets/d/1IYY_tgx_IHuhSq3AJ5eI5OnqOPBNLWSHKh2a30DoXe8/edit?usp=sharing"",""สตูล!I456"")"),0)</f>
        <v>0</v>
      </c>
      <c r="J561" s="210">
        <f ca="1">IFERROR(__xludf.DUMMYFUNCTION("IMPORTRANGE(""https://docs.google.com/spreadsheets/d/1IYY_tgx_IHuhSq3AJ5eI5OnqOPBNLWSHKh2a30DoXe8/edit?usp=sharing"",""สตูล!J456"")"),0)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IFERROR(__xludf.DUMMYFUNCTION("IMPORTRANGE(""https://docs.google.com/spreadsheets/d/1IYY_tgx_IHuhSq3AJ5eI5OnqOPBNLWSHKh2a30DoXe8/edit?usp=sharing"",""สตูล!I459"")"),200)</f>
        <v>200</v>
      </c>
      <c r="J564" s="377">
        <f ca="1">IFERROR(__xludf.DUMMYFUNCTION("IMPORTRANGE(""https://docs.google.com/spreadsheets/d/1IYY_tgx_IHuhSq3AJ5eI5OnqOPBNLWSHKh2a30DoXe8/edit?usp=sharing"",""สตูล!J459"")"),145)</f>
        <v>145</v>
      </c>
      <c r="K564" s="378">
        <f ca="1">IF(I564&gt;0,J564*100/I564,0)</f>
        <v>72.5</v>
      </c>
      <c r="L564" s="379">
        <f ca="1">IFERROR(__xludf.DUMMYFUNCTION("IMPORTRANGE(""https://docs.google.com/spreadsheets/d/1IYY_tgx_IHuhSq3AJ5eI5OnqOPBNLWSHKh2a30DoXe8/edit?usp=sharing"",""สตูล!L459"")"),124480)</f>
        <v>124480</v>
      </c>
      <c r="M564" s="379"/>
      <c r="N564" s="379">
        <f ca="1">IFERROR(__xludf.DUMMYFUNCTION("IMPORTRANGE(""https://docs.google.com/spreadsheets/d/1IYY_tgx_IHuhSq3AJ5eI5OnqOPBNLWSHKh2a30DoXe8/edit?usp=sharing"",""สตูล!M459"")"),14855)</f>
        <v>14855</v>
      </c>
      <c r="O564" s="379">
        <f t="shared" ref="O564:O568" ca="1" si="122">+IF(L564&gt;0,N564*100/L564,0)</f>
        <v>11.933643958868895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IFERROR(__xludf.DUMMYFUNCTION("IMPORTRANGE(""https://docs.google.com/spreadsheets/d/1IYY_tgx_IHuhSq3AJ5eI5OnqOPBNLWSHKh2a30DoXe8/edit?usp=sharing"",""สตูล!L460"")"),0)</f>
        <v>0</v>
      </c>
      <c r="M565" s="168"/>
      <c r="N565" s="175">
        <f ca="1">IFERROR(__xludf.DUMMYFUNCTION("IMPORTRANGE(""https://docs.google.com/spreadsheets/d/1IYY_tgx_IHuhSq3AJ5eI5OnqOPBNLWSHKh2a30DoXe8/edit?usp=sharing"",""สตูล!M460"")"),0)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IFERROR(__xludf.DUMMYFUNCTION("IMPORTRANGE(""https://docs.google.com/spreadsheets/d/1IYY_tgx_IHuhSq3AJ5eI5OnqOPBNLWSHKh2a30DoXe8/edit?usp=sharing"",""สตูล!L461"")"),124480)</f>
        <v>124480</v>
      </c>
      <c r="M566" s="169"/>
      <c r="N566" s="175">
        <f ca="1">IFERROR(__xludf.DUMMYFUNCTION("IMPORTRANGE(""https://docs.google.com/spreadsheets/d/1IYY_tgx_IHuhSq3AJ5eI5OnqOPBNLWSHKh2a30DoXe8/edit?usp=sharing"",""สตูล!M461"")"),14855)</f>
        <v>14855</v>
      </c>
      <c r="O566" s="175">
        <f t="shared" ca="1" si="122"/>
        <v>11.933643958868895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IFERROR(__xludf.DUMMYFUNCTION("IMPORTRANGE(""https://docs.google.com/spreadsheets/d/1IYY_tgx_IHuhSq3AJ5eI5OnqOPBNLWSHKh2a30DoXe8/edit?usp=sharing"",""สตูล!L462"")"),0)</f>
        <v>0</v>
      </c>
      <c r="M567" s="175"/>
      <c r="N567" s="175">
        <f ca="1">IFERROR(__xludf.DUMMYFUNCTION("IMPORTRANGE(""https://docs.google.com/spreadsheets/d/1IYY_tgx_IHuhSq3AJ5eI5OnqOPBNLWSHKh2a30DoXe8/edit?usp=sharing"",""สตูล!M462"")"),0)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IFERROR(__xludf.DUMMYFUNCTION("IMPORTRANGE(""https://docs.google.com/spreadsheets/d/1IYY_tgx_IHuhSq3AJ5eI5OnqOPBNLWSHKh2a30DoXe8/edit?usp=sharing"",""สตูล!L463"")"),124480)</f>
        <v>124480</v>
      </c>
      <c r="M568" s="175"/>
      <c r="N568" s="175">
        <f ca="1">IFERROR(__xludf.DUMMYFUNCTION("IMPORTRANGE(""https://docs.google.com/spreadsheets/d/1IYY_tgx_IHuhSq3AJ5eI5OnqOPBNLWSHKh2a30DoXe8/edit?usp=sharing"",""สตูล!M463"")"),14855)</f>
        <v>14855</v>
      </c>
      <c r="O568" s="175">
        <f t="shared" ca="1" si="122"/>
        <v>11.933643958868895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IFERROR(__xludf.DUMMYFUNCTION("IMPORTRANGE(""https://docs.google.com/spreadsheets/d/1IYY_tgx_IHuhSq3AJ5eI5OnqOPBNLWSHKh2a30DoXe8/edit?usp=sharing"",""สตูล!M464"")"),0)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IFERROR(__xludf.DUMMYFUNCTION("IMPORTRANGE(""https://docs.google.com/spreadsheets/d/1IYY_tgx_IHuhSq3AJ5eI5OnqOPBNLWSHKh2a30DoXe8/edit?usp=sharing"",""สตูล!M465"")"),0)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IFERROR(__xludf.DUMMYFUNCTION("IMPORTRANGE(""https://docs.google.com/spreadsheets/d/1IYY_tgx_IHuhSq3AJ5eI5OnqOPBNLWSHKh2a30DoXe8/edit?usp=sharing"",""สตูล!M466"")"),0)</f>
        <v>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IFERROR(__xludf.DUMMYFUNCTION("IMPORTRANGE(""https://docs.google.com/spreadsheets/d/1IYY_tgx_IHuhSq3AJ5eI5OnqOPBNLWSHKh2a30DoXe8/edit?usp=sharing"",""สตูล!M467"")"),14855)</f>
        <v>14855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IFERROR(__xludf.DUMMYFUNCTION("IMPORTRANGE(""https://docs.google.com/spreadsheets/d/1IYY_tgx_IHuhSq3AJ5eI5OnqOPBNLWSHKh2a30DoXe8/edit?usp=sharing"",""สตูล!I468"")"),200)</f>
        <v>200</v>
      </c>
      <c r="J573" s="426">
        <f ca="1">IFERROR(__xludf.DUMMYFUNCTION("IMPORTRANGE(""https://docs.google.com/spreadsheets/d/1IYY_tgx_IHuhSq3AJ5eI5OnqOPBNLWSHKh2a30DoXe8/edit?usp=sharing"",""สตูล!J468"")"),145)</f>
        <v>145</v>
      </c>
      <c r="K573" s="208">
        <f ca="1">IF(I573&gt;0,J573*100/I573,0)</f>
        <v>72.5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IFERROR(__xludf.DUMMYFUNCTION("IMPORTRANGE(""https://docs.google.com/spreadsheets/d/1IYY_tgx_IHuhSq3AJ5eI5OnqOPBNLWSHKh2a30DoXe8/edit?usp=sharing"",""สตูล!I470"")"),0)</f>
        <v>0</v>
      </c>
      <c r="J575" s="204">
        <f ca="1">IFERROR(__xludf.DUMMYFUNCTION("IMPORTRANGE(""https://docs.google.com/spreadsheets/d/1IYY_tgx_IHuhSq3AJ5eI5OnqOPBNLWSHKh2a30DoXe8/edit?usp=sharing"",""สตูล!J470"")"),6)</f>
        <v>6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IFERROR(__xludf.DUMMYFUNCTION("IMPORTRANGE(""https://docs.google.com/spreadsheets/d/1IYY_tgx_IHuhSq3AJ5eI5OnqOPBNLWSHKh2a30DoXe8/edit?usp=sharing"",""สตูล!I471"")"),0)</f>
        <v>0</v>
      </c>
      <c r="J576" s="204">
        <f ca="1">IFERROR(__xludf.DUMMYFUNCTION("IMPORTRANGE(""https://docs.google.com/spreadsheets/d/1IYY_tgx_IHuhSq3AJ5eI5OnqOPBNLWSHKh2a30DoXe8/edit?usp=sharing"",""สตูล!J471"")"),30)</f>
        <v>30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IFERROR(__xludf.DUMMYFUNCTION("IMPORTRANGE(""https://docs.google.com/spreadsheets/d/1IYY_tgx_IHuhSq3AJ5eI5OnqOPBNLWSHKh2a30DoXe8/edit?usp=sharing"",""สตูล!I472"")"),0)</f>
        <v>0</v>
      </c>
      <c r="J577" s="195">
        <f ca="1">IFERROR(__xludf.DUMMYFUNCTION("IMPORTRANGE(""https://docs.google.com/spreadsheets/d/1IYY_tgx_IHuhSq3AJ5eI5OnqOPBNLWSHKh2a30DoXe8/edit?usp=sharing"",""สตูล!J472"")"),115)</f>
        <v>115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IFERROR(__xludf.DUMMYFUNCTION("IMPORTRANGE(""https://docs.google.com/spreadsheets/d/1IYY_tgx_IHuhSq3AJ5eI5OnqOPBNLWSHKh2a30DoXe8/edit?usp=sharing"",""สตูล!I473"")"),0)</f>
        <v>0</v>
      </c>
      <c r="J578" s="204">
        <f ca="1">IFERROR(__xludf.DUMMYFUNCTION("IMPORTRANGE(""https://docs.google.com/spreadsheets/d/1IYY_tgx_IHuhSq3AJ5eI5OnqOPBNLWSHKh2a30DoXe8/edit?usp=sharing"",""สตูล!J473"")"),0)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IFERROR(__xludf.DUMMYFUNCTION("IMPORTRANGE(""https://docs.google.com/spreadsheets/d/1IYY_tgx_IHuhSq3AJ5eI5OnqOPBNLWSHKh2a30DoXe8/edit?usp=sharing"",""สตูล!I474"")"),0)</f>
        <v>0</v>
      </c>
      <c r="J579" s="204">
        <f ca="1">IFERROR(__xludf.DUMMYFUNCTION("IMPORTRANGE(""https://docs.google.com/spreadsheets/d/1IYY_tgx_IHuhSq3AJ5eI5OnqOPBNLWSHKh2a30DoXe8/edit?usp=sharing"",""สตูล!J474"")"),0)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IFERROR(__xludf.DUMMYFUNCTION("IMPORTRANGE(""https://docs.google.com/spreadsheets/d/1IYY_tgx_IHuhSq3AJ5eI5OnqOPBNLWSHKh2a30DoXe8/edit?usp=sharing"",""สตูล!I475"")"),0)</f>
        <v>0</v>
      </c>
      <c r="J580" s="377">
        <f ca="1">IFERROR(__xludf.DUMMYFUNCTION("IMPORTRANGE(""https://docs.google.com/spreadsheets/d/1IYY_tgx_IHuhSq3AJ5eI5OnqOPBNLWSHKh2a30DoXe8/edit?usp=sharing"",""สตูล!J475"")"),0)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IFERROR(__xludf.DUMMYFUNCTION("IMPORTRANGE(""https://docs.google.com/spreadsheets/d/1IYY_tgx_IHuhSq3AJ5eI5OnqOPBNLWSHKh2a30DoXe8/edit?usp=sharing"",""สตูล!L475"")"),0)</f>
        <v>0</v>
      </c>
      <c r="M580" s="379"/>
      <c r="N580" s="379">
        <f ca="1">IFERROR(__xludf.DUMMYFUNCTION("IMPORTRANGE(""https://docs.google.com/spreadsheets/d/1IYY_tgx_IHuhSq3AJ5eI5OnqOPBNLWSHKh2a30DoXe8/edit?usp=sharing"",""สตูล!M475"")"),0)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IFERROR(__xludf.DUMMYFUNCTION("IMPORTRANGE(""https://docs.google.com/spreadsheets/d/1IYY_tgx_IHuhSq3AJ5eI5OnqOPBNLWSHKh2a30DoXe8/edit?usp=sharing"",""สตูล!L476"")"),0)</f>
        <v>0</v>
      </c>
      <c r="M581" s="168"/>
      <c r="N581" s="175">
        <f ca="1">IFERROR(__xludf.DUMMYFUNCTION("IMPORTRANGE(""https://docs.google.com/spreadsheets/d/1IYY_tgx_IHuhSq3AJ5eI5OnqOPBNLWSHKh2a30DoXe8/edit?usp=sharing"",""สตูล!M476"")"),0)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IFERROR(__xludf.DUMMYFUNCTION("IMPORTRANGE(""https://docs.google.com/spreadsheets/d/1IYY_tgx_IHuhSq3AJ5eI5OnqOPBNLWSHKh2a30DoXe8/edit?usp=sharing"",""สตูล!L477"")"),0)</f>
        <v>0</v>
      </c>
      <c r="M582" s="169"/>
      <c r="N582" s="175">
        <f ca="1">IFERROR(__xludf.DUMMYFUNCTION("IMPORTRANGE(""https://docs.google.com/spreadsheets/d/1IYY_tgx_IHuhSq3AJ5eI5OnqOPBNLWSHKh2a30DoXe8/edit?usp=sharing"",""สตูล!M477"")"),0)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IFERROR(__xludf.DUMMYFUNCTION("IMPORTRANGE(""https://docs.google.com/spreadsheets/d/1IYY_tgx_IHuhSq3AJ5eI5OnqOPBNLWSHKh2a30DoXe8/edit?usp=sharing"",""สตูล!L478"")"),0)</f>
        <v>0</v>
      </c>
      <c r="M583" s="175"/>
      <c r="N583" s="175">
        <f ca="1">IFERROR(__xludf.DUMMYFUNCTION("IMPORTRANGE(""https://docs.google.com/spreadsheets/d/1IYY_tgx_IHuhSq3AJ5eI5OnqOPBNLWSHKh2a30DoXe8/edit?usp=sharing"",""สตูล!M478"")"),0)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IFERROR(__xludf.DUMMYFUNCTION("IMPORTRANGE(""https://docs.google.com/spreadsheets/d/1IYY_tgx_IHuhSq3AJ5eI5OnqOPBNLWSHKh2a30DoXe8/edit?usp=sharing"",""สตูล!L479"")"),0)</f>
        <v>0</v>
      </c>
      <c r="M584" s="175"/>
      <c r="N584" s="175">
        <f ca="1">IFERROR(__xludf.DUMMYFUNCTION("IMPORTRANGE(""https://docs.google.com/spreadsheets/d/1IYY_tgx_IHuhSq3AJ5eI5OnqOPBNLWSHKh2a30DoXe8/edit?usp=sharing"",""สตูล!M479"")"),0)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IFERROR(__xludf.DUMMYFUNCTION("IMPORTRANGE(""https://docs.google.com/spreadsheets/d/1IYY_tgx_IHuhSq3AJ5eI5OnqOPBNLWSHKh2a30DoXe8/edit?usp=sharing"",""สตูล!M480"")"),0)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IFERROR(__xludf.DUMMYFUNCTION("IMPORTRANGE(""https://docs.google.com/spreadsheets/d/1IYY_tgx_IHuhSq3AJ5eI5OnqOPBNLWSHKh2a30DoXe8/edit?usp=sharing"",""สตูล!M481"")"),0)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IFERROR(__xludf.DUMMYFUNCTION("IMPORTRANGE(""https://docs.google.com/spreadsheets/d/1IYY_tgx_IHuhSq3AJ5eI5OnqOPBNLWSHKh2a30DoXe8/edit?usp=sharing"",""สตูล!M482"")"),0)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IFERROR(__xludf.DUMMYFUNCTION("IMPORTRANGE(""https://docs.google.com/spreadsheets/d/1IYY_tgx_IHuhSq3AJ5eI5OnqOPBNLWSHKh2a30DoXe8/edit?usp=sharing"",""สตูล!M483"")"),0)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IFERROR(__xludf.DUMMYFUNCTION("IMPORTRANGE(""https://docs.google.com/spreadsheets/d/1IYY_tgx_IHuhSq3AJ5eI5OnqOPBNLWSHKh2a30DoXe8/edit?usp=sharing"",""สตูล!I484"")"),0)</f>
        <v>0</v>
      </c>
      <c r="J589" s="194">
        <f ca="1">IFERROR(__xludf.DUMMYFUNCTION("IMPORTRANGE(""https://docs.google.com/spreadsheets/d/1IYY_tgx_IHuhSq3AJ5eI5OnqOPBNLWSHKh2a30DoXe8/edit?usp=sharing"",""สตูล!J484"")"),0)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IFERROR(__xludf.DUMMYFUNCTION("IMPORTRANGE(""https://docs.google.com/spreadsheets/d/1IYY_tgx_IHuhSq3AJ5eI5OnqOPBNLWSHKh2a30DoXe8/edit?usp=sharing"",""สตูล!I485"")"),0)</f>
        <v>0</v>
      </c>
      <c r="J590" s="194">
        <f ca="1">IFERROR(__xludf.DUMMYFUNCTION("IMPORTRANGE(""https://docs.google.com/spreadsheets/d/1IYY_tgx_IHuhSq3AJ5eI5OnqOPBNLWSHKh2a30DoXe8/edit?usp=sharing"",""สตูล!J485"")"),0)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IFERROR(__xludf.DUMMYFUNCTION("IMPORTRANGE(""https://docs.google.com/spreadsheets/d/1IYY_tgx_IHuhSq3AJ5eI5OnqOPBNLWSHKh2a30DoXe8/edit?usp=sharing"",""สตูล!I486"")"),0)</f>
        <v>0</v>
      </c>
      <c r="J591" s="194">
        <f ca="1">IFERROR(__xludf.DUMMYFUNCTION("IMPORTRANGE(""https://docs.google.com/spreadsheets/d/1IYY_tgx_IHuhSq3AJ5eI5OnqOPBNLWSHKh2a30DoXe8/edit?usp=sharing"",""สตูล!J486"")"),0)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IFERROR(__xludf.DUMMYFUNCTION("IMPORTRANGE(""https://docs.google.com/spreadsheets/d/1IYY_tgx_IHuhSq3AJ5eI5OnqOPBNLWSHKh2a30DoXe8/edit?usp=sharing"",""สตูล!I487"")"),0)</f>
        <v>0</v>
      </c>
      <c r="J592" s="194">
        <f ca="1">IFERROR(__xludf.DUMMYFUNCTION("IMPORTRANGE(""https://docs.google.com/spreadsheets/d/1IYY_tgx_IHuhSq3AJ5eI5OnqOPBNLWSHKh2a30DoXe8/edit?usp=sharing"",""สตูล!J487"")"),0)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IFERROR(__xludf.DUMMYFUNCTION("IMPORTRANGE(""https://docs.google.com/spreadsheets/d/1IYY_tgx_IHuhSq3AJ5eI5OnqOPBNLWSHKh2a30DoXe8/edit?usp=sharing"",""สตูล!I488"")"),0)</f>
        <v>0</v>
      </c>
      <c r="J593" s="194">
        <f ca="1">IFERROR(__xludf.DUMMYFUNCTION("IMPORTRANGE(""https://docs.google.com/spreadsheets/d/1IYY_tgx_IHuhSq3AJ5eI5OnqOPBNLWSHKh2a30DoXe8/edit?usp=sharing"",""สตูล!J488"")"),0)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IFERROR(__xludf.DUMMYFUNCTION("IMPORTRANGE(""https://docs.google.com/spreadsheets/d/1IYY_tgx_IHuhSq3AJ5eI5OnqOPBNLWSHKh2a30DoXe8/edit?usp=sharing"",""สตูล!I489"")"),0)</f>
        <v>0</v>
      </c>
      <c r="J594" s="194">
        <f ca="1">IFERROR(__xludf.DUMMYFUNCTION("IMPORTRANGE(""https://docs.google.com/spreadsheets/d/1IYY_tgx_IHuhSq3AJ5eI5OnqOPBNLWSHKh2a30DoXe8/edit?usp=sharing"",""สตูล!J489"")"),0)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IFERROR(__xludf.DUMMYFUNCTION("IMPORTRANGE(""https://docs.google.com/spreadsheets/d/1IYY_tgx_IHuhSq3AJ5eI5OnqOPBNLWSHKh2a30DoXe8/edit?usp=sharing"",""สตูล!I490"")"),0)</f>
        <v>0</v>
      </c>
      <c r="J595" s="194">
        <f ca="1">IFERROR(__xludf.DUMMYFUNCTION("IMPORTRANGE(""https://docs.google.com/spreadsheets/d/1IYY_tgx_IHuhSq3AJ5eI5OnqOPBNLWSHKh2a30DoXe8/edit?usp=sharing"",""สตูล!J490"")"),0)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IFERROR(__xludf.DUMMYFUNCTION("IMPORTRANGE(""https://docs.google.com/spreadsheets/d/1IYY_tgx_IHuhSq3AJ5eI5OnqOPBNLWSHKh2a30DoXe8/edit?usp=sharing"",""สตูล!I491"")"),0)</f>
        <v>0</v>
      </c>
      <c r="J596" s="247">
        <f ca="1">IFERROR(__xludf.DUMMYFUNCTION("IMPORTRANGE(""https://docs.google.com/spreadsheets/d/1IYY_tgx_IHuhSq3AJ5eI5OnqOPBNLWSHKh2a30DoXe8/edit?usp=sharing"",""สตูล!J491"")"),0)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IFERROR(__xludf.DUMMYFUNCTION("IMPORTRANGE(""https://docs.google.com/spreadsheets/d/1IYY_tgx_IHuhSq3AJ5eI5OnqOPBNLWSHKh2a30DoXe8/edit?usp=sharing"",""สตูล!I492"")"),100)</f>
        <v>100</v>
      </c>
      <c r="J597" s="493">
        <f ca="1">IFERROR(__xludf.DUMMYFUNCTION("IMPORTRANGE(""https://docs.google.com/spreadsheets/d/1IYY_tgx_IHuhSq3AJ5eI5OnqOPBNLWSHKh2a30DoXe8/edit?usp=sharing"",""สตูล!J492"")"),0)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IFERROR(__xludf.DUMMYFUNCTION("IMPORTRANGE(""https://docs.google.com/spreadsheets/d/1IYY_tgx_IHuhSq3AJ5eI5OnqOPBNLWSHKh2a30DoXe8/edit?usp=sharing"",""สตูล!L492"")"),8100)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IFERROR(__xludf.DUMMYFUNCTION("IMPORTRANGE(""https://docs.google.com/spreadsheets/d/1IYY_tgx_IHuhSq3AJ5eI5OnqOPBNLWSHKh2a30DoXe8/edit?usp=sharing"",""สตูล!M492"")"),900)</f>
        <v>900</v>
      </c>
      <c r="O597" s="418">
        <f t="shared" ref="O597:O601" ca="1" si="126">+IF(L597&gt;0,N597*100/L597,0)</f>
        <v>11.111111111111111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IFERROR(__xludf.DUMMYFUNCTION("IMPORTRANGE(""https://docs.google.com/spreadsheets/d/1IYY_tgx_IHuhSq3AJ5eI5OnqOPBNLWSHKh2a30DoXe8/edit?usp=sharing"",""สตูล!L493"")"),0)</f>
        <v>0</v>
      </c>
      <c r="M598" s="168"/>
      <c r="N598" s="175">
        <f ca="1">IFERROR(__xludf.DUMMYFUNCTION("IMPORTRANGE(""https://docs.google.com/spreadsheets/d/1IYY_tgx_IHuhSq3AJ5eI5OnqOPBNLWSHKh2a30DoXe8/edit?usp=sharing"",""สตูล!M493"")"),0)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IFERROR(__xludf.DUMMYFUNCTION("IMPORTRANGE(""https://docs.google.com/spreadsheets/d/1IYY_tgx_IHuhSq3AJ5eI5OnqOPBNLWSHKh2a30DoXe8/edit?usp=sharing"",""สตูล!L494"")"),8100)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IFERROR(__xludf.DUMMYFUNCTION("IMPORTRANGE(""https://docs.google.com/spreadsheets/d/1IYY_tgx_IHuhSq3AJ5eI5OnqOPBNLWSHKh2a30DoXe8/edit?usp=sharing"",""สตูล!M494"")"),900)</f>
        <v>900</v>
      </c>
      <c r="O599" s="175">
        <f t="shared" ca="1" si="126"/>
        <v>11.111111111111111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IFERROR(__xludf.DUMMYFUNCTION("IMPORTRANGE(""https://docs.google.com/spreadsheets/d/1IYY_tgx_IHuhSq3AJ5eI5OnqOPBNLWSHKh2a30DoXe8/edit?usp=sharing"",""สตูล!L495"")"),0)</f>
        <v>0</v>
      </c>
      <c r="M600" s="175"/>
      <c r="N600" s="175">
        <f ca="1">IFERROR(__xludf.DUMMYFUNCTION("IMPORTRANGE(""https://docs.google.com/spreadsheets/d/1IYY_tgx_IHuhSq3AJ5eI5OnqOPBNLWSHKh2a30DoXe8/edit?usp=sharing"",""สตูล!M495"")"),0)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IFERROR(__xludf.DUMMYFUNCTION("IMPORTRANGE(""https://docs.google.com/spreadsheets/d/1IYY_tgx_IHuhSq3AJ5eI5OnqOPBNLWSHKh2a30DoXe8/edit?usp=sharing"",""สตูล!L496"")"),8100)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IFERROR(__xludf.DUMMYFUNCTION("IMPORTRANGE(""https://docs.google.com/spreadsheets/d/1IYY_tgx_IHuhSq3AJ5eI5OnqOPBNLWSHKh2a30DoXe8/edit?usp=sharing"",""สตูล!M496"")"),900)</f>
        <v>900</v>
      </c>
      <c r="O601" s="175">
        <f t="shared" ca="1" si="126"/>
        <v>11.111111111111111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IFERROR(__xludf.DUMMYFUNCTION("IMPORTRANGE(""https://docs.google.com/spreadsheets/d/1IYY_tgx_IHuhSq3AJ5eI5OnqOPBNLWSHKh2a30DoXe8/edit?usp=sharing"",""สตูล!M497"")"),0)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IFERROR(__xludf.DUMMYFUNCTION("IMPORTRANGE(""https://docs.google.com/spreadsheets/d/1IYY_tgx_IHuhSq3AJ5eI5OnqOPBNLWSHKh2a30DoXe8/edit?usp=sharing"",""สตูล!M498"")"),0)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IFERROR(__xludf.DUMMYFUNCTION("IMPORTRANGE(""https://docs.google.com/spreadsheets/d/1IYY_tgx_IHuhSq3AJ5eI5OnqOPBNLWSHKh2a30DoXe8/edit?usp=sharing"",""สตูล!M499"")"),0)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IFERROR(__xludf.DUMMYFUNCTION("IMPORTRANGE(""https://docs.google.com/spreadsheets/d/1IYY_tgx_IHuhSq3AJ5eI5OnqOPBNLWSHKh2a30DoXe8/edit?usp=sharing"",""สตูล!M500"")"),900)</f>
        <v>900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IFERROR(__xludf.DUMMYFUNCTION("IMPORTRANGE(""https://docs.google.com/spreadsheets/d/1IYY_tgx_IHuhSq3AJ5eI5OnqOPBNLWSHKh2a30DoXe8/edit?usp=sharing"",""สตูล!J502"")"),0)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IFERROR(__xludf.DUMMYFUNCTION("IMPORTRANGE(""https://docs.google.com/spreadsheets/d/1IYY_tgx_IHuhSq3AJ5eI5OnqOPBNLWSHKh2a30DoXe8/edit?usp=sharing"",""สตูล!J503"")"),1)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IFERROR(__xludf.DUMMYFUNCTION("IMPORTRANGE(""https://docs.google.com/spreadsheets/d/1IYY_tgx_IHuhSq3AJ5eI5OnqOPBNLWSHKh2a30DoXe8/edit?usp=sharing"",""สตูล!J166"")"),0)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IFERROR(__xludf.DUMMYFUNCTION("IMPORTRANGE(""https://docs.google.com/spreadsheets/d/1IYY_tgx_IHuhSq3AJ5eI5OnqOPBNLWSHKh2a30DoXe8/edit?usp=sharing"",""สตูล!J166"")"),0)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IFERROR(__xludf.DUMMYFUNCTION("IMPORTRANGE(""https://docs.google.com/spreadsheets/d/1IYY_tgx_IHuhSq3AJ5eI5OnqOPBNLWSHKh2a30DoXe8/edit?usp=sharing"",""สตูล!I506"")"),100)</f>
        <v>100</v>
      </c>
      <c r="J611" s="166">
        <f ca="1">IFERROR(__xludf.DUMMYFUNCTION("IMPORTRANGE(""https://docs.google.com/spreadsheets/d/1IYY_tgx_IHuhSq3AJ5eI5OnqOPBNLWSHKh2a30DoXe8/edit?usp=sharing"",""สตูล!J506"")"),0)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IFERROR(__xludf.DUMMYFUNCTION("IMPORTRANGE(""https://docs.google.com/spreadsheets/d/1IYY_tgx_IHuhSq3AJ5eI5OnqOPBNLWSHKh2a30DoXe8/edit?usp=sharing"",""สตูล!I507"")"),0)</f>
        <v>0</v>
      </c>
      <c r="J612" s="204">
        <f ca="1">IFERROR(__xludf.DUMMYFUNCTION("IMPORTRANGE(""https://docs.google.com/spreadsheets/d/1IYY_tgx_IHuhSq3AJ5eI5OnqOPBNLWSHKh2a30DoXe8/edit?usp=sharing"",""สตูล!J507"")"),0)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IFERROR(__xludf.DUMMYFUNCTION("IMPORTRANGE(""https://docs.google.com/spreadsheets/d/1IYY_tgx_IHuhSq3AJ5eI5OnqOPBNLWSHKh2a30DoXe8/edit?usp=sharing"",""สตูล!I508"")"),0)</f>
        <v>0</v>
      </c>
      <c r="J613" s="204">
        <f ca="1">IFERROR(__xludf.DUMMYFUNCTION("IMPORTRANGE(""https://docs.google.com/spreadsheets/d/1IYY_tgx_IHuhSq3AJ5eI5OnqOPBNLWSHKh2a30DoXe8/edit?usp=sharing"",""สตูล!J508"")"),0)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IFERROR(__xludf.DUMMYFUNCTION("IMPORTRANGE(""https://docs.google.com/spreadsheets/d/1IYY_tgx_IHuhSq3AJ5eI5OnqOPBNLWSHKh2a30DoXe8/edit?usp=sharing"",""สตูล!I509"")"),0)</f>
        <v>0</v>
      </c>
      <c r="J614" s="204">
        <f ca="1">IFERROR(__xludf.DUMMYFUNCTION("IMPORTRANGE(""https://docs.google.com/spreadsheets/d/1IYY_tgx_IHuhSq3AJ5eI5OnqOPBNLWSHKh2a30DoXe8/edit?usp=sharing"",""สตูล!J509"")"),0)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IFERROR(__xludf.DUMMYFUNCTION("IMPORTRANGE(""https://docs.google.com/spreadsheets/d/1IYY_tgx_IHuhSq3AJ5eI5OnqOPBNLWSHKh2a30DoXe8/edit?usp=sharing"",""สตูล!I510"")"),0)</f>
        <v>0</v>
      </c>
      <c r="J615" s="204">
        <f ca="1">IFERROR(__xludf.DUMMYFUNCTION("IMPORTRANGE(""https://docs.google.com/spreadsheets/d/1IYY_tgx_IHuhSq3AJ5eI5OnqOPBNLWSHKh2a30DoXe8/edit?usp=sharing"",""สตูล!J510"")"),0)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IFERROR(__xludf.DUMMYFUNCTION("IMPORTRANGE(""https://docs.google.com/spreadsheets/d/1IYY_tgx_IHuhSq3AJ5eI5OnqOPBNLWSHKh2a30DoXe8/edit?usp=sharing"",""สตูล!I511"")"),0)</f>
        <v>0</v>
      </c>
      <c r="J616" s="204">
        <f ca="1">IFERROR(__xludf.DUMMYFUNCTION("IMPORTRANGE(""https://docs.google.com/spreadsheets/d/1IYY_tgx_IHuhSq3AJ5eI5OnqOPBNLWSHKh2a30DoXe8/edit?usp=sharing"",""สตูล!J511"")"),0)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IFERROR(__xludf.DUMMYFUNCTION("IMPORTRANGE(""https://docs.google.com/spreadsheets/d/1IYY_tgx_IHuhSq3AJ5eI5OnqOPBNLWSHKh2a30DoXe8/edit?usp=sharing"",""สตูล!I512"")"),0)</f>
        <v>0</v>
      </c>
      <c r="J617" s="194">
        <f ca="1">IFERROR(__xludf.DUMMYFUNCTION("IMPORTRANGE(""https://docs.google.com/spreadsheets/d/1IYY_tgx_IHuhSq3AJ5eI5OnqOPBNLWSHKh2a30DoXe8/edit?usp=sharing"",""สตูล!J512"")"),0)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IFERROR(__xludf.DUMMYFUNCTION("IMPORTRANGE(""https://docs.google.com/spreadsheets/d/1IYY_tgx_IHuhSq3AJ5eI5OnqOPBNLWSHKh2a30DoXe8/edit?usp=sharing"",""สตูล!I513"")"),0)</f>
        <v>0</v>
      </c>
      <c r="J618" s="195">
        <f ca="1">IFERROR(__xludf.DUMMYFUNCTION("IMPORTRANGE(""https://docs.google.com/spreadsheets/d/1IYY_tgx_IHuhSq3AJ5eI5OnqOPBNLWSHKh2a30DoXe8/edit?usp=sharing"",""สตูล!J513"")"),0)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IFERROR(__xludf.DUMMYFUNCTION("IMPORTRANGE(""https://docs.google.com/spreadsheets/d/1IYY_tgx_IHuhSq3AJ5eI5OnqOPBNLWSHKh2a30DoXe8/edit?usp=sharing"",""สตูล!I514"")"),0)</f>
        <v>0</v>
      </c>
      <c r="J619" s="195">
        <f ca="1">IFERROR(__xludf.DUMMYFUNCTION("IMPORTRANGE(""https://docs.google.com/spreadsheets/d/1IYY_tgx_IHuhSq3AJ5eI5OnqOPBNLWSHKh2a30DoXe8/edit?usp=sharing"",""สตูล!J514"")"),0)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IFERROR(__xludf.DUMMYFUNCTION("IMPORTRANGE(""https://docs.google.com/spreadsheets/d/1IYY_tgx_IHuhSq3AJ5eI5OnqOPBNLWSHKh2a30DoXe8/edit?usp=sharing"",""สตูล!I515"")"),0)</f>
        <v>0</v>
      </c>
      <c r="J620" s="209">
        <f ca="1">IFERROR(__xludf.DUMMYFUNCTION("IMPORTRANGE(""https://docs.google.com/spreadsheets/d/1IYY_tgx_IHuhSq3AJ5eI5OnqOPBNLWSHKh2a30DoXe8/edit?usp=sharing"",""สตูล!J515"")"),0)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IFERROR(__xludf.DUMMYFUNCTION("IMPORTRANGE(""https://docs.google.com/spreadsheets/d/1IYY_tgx_IHuhSq3AJ5eI5OnqOPBNLWSHKh2a30DoXe8/edit?usp=sharing"",""สตูล!I516"")"),0)</f>
        <v>0</v>
      </c>
      <c r="J621" s="209">
        <f ca="1">IFERROR(__xludf.DUMMYFUNCTION("IMPORTRANGE(""https://docs.google.com/spreadsheets/d/1IYY_tgx_IHuhSq3AJ5eI5OnqOPBNLWSHKh2a30DoXe8/edit?usp=sharing"",""สตูล!J516"")"),0)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IFERROR(__xludf.DUMMYFUNCTION("IMPORTRANGE(""https://docs.google.com/spreadsheets/d/1IYY_tgx_IHuhSq3AJ5eI5OnqOPBNLWSHKh2a30DoXe8/edit?usp=sharing"",""สตูล!I517"")"),0)</f>
        <v>0</v>
      </c>
      <c r="J622" s="195">
        <f ca="1">IFERROR(__xludf.DUMMYFUNCTION("IMPORTRANGE(""https://docs.google.com/spreadsheets/d/1IYY_tgx_IHuhSq3AJ5eI5OnqOPBNLWSHKh2a30DoXe8/edit?usp=sharing"",""สตูล!J517"")"),0)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IFERROR(__xludf.DUMMYFUNCTION("IMPORTRANGE(""https://docs.google.com/spreadsheets/d/1IYY_tgx_IHuhSq3AJ5eI5OnqOPBNLWSHKh2a30DoXe8/edit?usp=sharing"",""สตูล!I518"")"),0)</f>
        <v>0</v>
      </c>
      <c r="J623" s="195">
        <f ca="1">IFERROR(__xludf.DUMMYFUNCTION("IMPORTRANGE(""https://docs.google.com/spreadsheets/d/1IYY_tgx_IHuhSq3AJ5eI5OnqOPBNLWSHKh2a30DoXe8/edit?usp=sharing"",""สตูล!J518"")"),0)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IFERROR(__xludf.DUMMYFUNCTION("IMPORTRANGE(""https://docs.google.com/spreadsheets/d/1IYY_tgx_IHuhSq3AJ5eI5OnqOPBNLWSHKh2a30DoXe8/edit?usp=sharing"",""สตูล!I519"")"),0)</f>
        <v>0</v>
      </c>
      <c r="J624" s="194">
        <f ca="1">IFERROR(__xludf.DUMMYFUNCTION("IMPORTRANGE(""https://docs.google.com/spreadsheets/d/1IYY_tgx_IHuhSq3AJ5eI5OnqOPBNLWSHKh2a30DoXe8/edit?usp=sharing"",""สตูล!J519"")"),0)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IFERROR(__xludf.DUMMYFUNCTION("IMPORTRANGE(""https://docs.google.com/spreadsheets/d/1IYY_tgx_IHuhSq3AJ5eI5OnqOPBNLWSHKh2a30DoXe8/edit?usp=sharing"",""สตูล!I520"")"),0)</f>
        <v>0</v>
      </c>
      <c r="J625" s="195">
        <f ca="1">IFERROR(__xludf.DUMMYFUNCTION("IMPORTRANGE(""https://docs.google.com/spreadsheets/d/1IYY_tgx_IHuhSq3AJ5eI5OnqOPBNLWSHKh2a30DoXe8/edit?usp=sharing"",""สตูล!J520"")"),0)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IFERROR(__xludf.DUMMYFUNCTION("IMPORTRANGE(""https://docs.google.com/spreadsheets/d/1IYY_tgx_IHuhSq3AJ5eI5OnqOPBNLWSHKh2a30DoXe8/edit?usp=sharing"",""สตูล!I521"")"),0)</f>
        <v>0</v>
      </c>
      <c r="J626" s="195">
        <f ca="1">IFERROR(__xludf.DUMMYFUNCTION("IMPORTRANGE(""https://docs.google.com/spreadsheets/d/1IYY_tgx_IHuhSq3AJ5eI5OnqOPBNLWSHKh2a30DoXe8/edit?usp=sharing"",""สตูล!J521"")"),0)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IFERROR(__xludf.DUMMYFUNCTION("IMPORTRANGE(""https://docs.google.com/spreadsheets/d/1IYY_tgx_IHuhSq3AJ5eI5OnqOPBNLWSHKh2a30DoXe8/edit?usp=sharing"",""สตูล!I523"")"),298824.87)</f>
        <v>298824.87</v>
      </c>
      <c r="J628" s="347">
        <f ca="1">IFERROR(__xludf.DUMMYFUNCTION("IMPORTRANGE(""https://docs.google.com/spreadsheets/d/1IYY_tgx_IHuhSq3AJ5eI5OnqOPBNLWSHKh2a30DoXe8/edit?usp=sharing"",""สตูล!J523"")"),116487.21)</f>
        <v>116487.21</v>
      </c>
      <c r="K628" s="348">
        <f t="shared" ref="K628:K635" ca="1" si="129">IF(I628&gt;0,J628*100/I628,0)</f>
        <v>38.981765473536392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IFERROR(__xludf.DUMMYFUNCTION("IMPORTRANGE(""https://docs.google.com/spreadsheets/d/1IYY_tgx_IHuhSq3AJ5eI5OnqOPBNLWSHKh2a30DoXe8/edit?usp=sharing"",""สตูล!I524"")"),36)</f>
        <v>36</v>
      </c>
      <c r="J629" s="347">
        <f ca="1">IFERROR(__xludf.DUMMYFUNCTION("IMPORTRANGE(""https://docs.google.com/spreadsheets/d/1IYY_tgx_IHuhSq3AJ5eI5OnqOPBNLWSHKh2a30DoXe8/edit?usp=sharing"",""สตูล!J524"")"),13)</f>
        <v>13</v>
      </c>
      <c r="K629" s="348">
        <f t="shared" ca="1" si="129"/>
        <v>36.111111111111114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IFERROR(__xludf.DUMMYFUNCTION("IMPORTRANGE(""https://docs.google.com/spreadsheets/d/1IYY_tgx_IHuhSq3AJ5eI5OnqOPBNLWSHKh2a30DoXe8/edit?usp=sharing"",""สตูล!I525"")"),12403)</f>
        <v>12403</v>
      </c>
      <c r="J630" s="347">
        <f ca="1">IFERROR(__xludf.DUMMYFUNCTION("IMPORTRANGE(""https://docs.google.com/spreadsheets/d/1IYY_tgx_IHuhSq3AJ5eI5OnqOPBNLWSHKh2a30DoXe8/edit?usp=sharing"",""สตูล!J525"")"),3843)</f>
        <v>3843</v>
      </c>
      <c r="K630" s="348">
        <f t="shared" ca="1" si="129"/>
        <v>30.984439248568894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IFERROR(__xludf.DUMMYFUNCTION("IMPORTRANGE(""https://docs.google.com/spreadsheets/d/1IYY_tgx_IHuhSq3AJ5eI5OnqOPBNLWSHKh2a30DoXe8/edit?usp=sharing"",""สตูล!I526"")"),1)</f>
        <v>1</v>
      </c>
      <c r="J631" s="347">
        <f ca="1">IFERROR(__xludf.DUMMYFUNCTION("IMPORTRANGE(""https://docs.google.com/spreadsheets/d/1IYY_tgx_IHuhSq3AJ5eI5OnqOPBNLWSHKh2a30DoXe8/edit?usp=sharing"",""สตูล!J526"")"),2)</f>
        <v>2</v>
      </c>
      <c r="K631" s="348">
        <f t="shared" ca="1" si="129"/>
        <v>200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IFERROR(__xludf.DUMMYFUNCTION("IMPORTRANGE(""https://docs.google.com/spreadsheets/d/1IYY_tgx_IHuhSq3AJ5eI5OnqOPBNLWSHKh2a30DoXe8/edit?usp=sharing"",""สตูล!I527"")"),0)</f>
        <v>0</v>
      </c>
      <c r="J632" s="347">
        <f ca="1">IFERROR(__xludf.DUMMYFUNCTION("IMPORTRANGE(""https://docs.google.com/spreadsheets/d/1IYY_tgx_IHuhSq3AJ5eI5OnqOPBNLWSHKh2a30DoXe8/edit?usp=sharing"",""สตูล!J527"")"),0)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IFERROR(__xludf.DUMMYFUNCTION("IMPORTRANGE(""https://docs.google.com/spreadsheets/d/1IYY_tgx_IHuhSq3AJ5eI5OnqOPBNLWSHKh2a30DoXe8/edit?usp=sharing"",""สตูล!I528"")"),0)</f>
        <v>0</v>
      </c>
      <c r="J633" s="347">
        <f ca="1">IFERROR(__xludf.DUMMYFUNCTION("IMPORTRANGE(""https://docs.google.com/spreadsheets/d/1IYY_tgx_IHuhSq3AJ5eI5OnqOPBNLWSHKh2a30DoXe8/edit?usp=sharing"",""สตูล!J528"")"),0)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IFERROR(__xludf.DUMMYFUNCTION("IMPORTRANGE(""https://docs.google.com/spreadsheets/d/1IYY_tgx_IHuhSq3AJ5eI5OnqOPBNLWSHKh2a30DoXe8/edit?usp=sharing"",""สตูล!I529"")"),270000)</f>
        <v>270000</v>
      </c>
      <c r="J634" s="347">
        <f ca="1">IFERROR(__xludf.DUMMYFUNCTION("IMPORTRANGE(""https://docs.google.com/spreadsheets/d/1IYY_tgx_IHuhSq3AJ5eI5OnqOPBNLWSHKh2a30DoXe8/edit?usp=sharing"",""สตูล!J529"")"),270000)</f>
        <v>270000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IFERROR(__xludf.DUMMYFUNCTION("IMPORTRANGE(""https://docs.google.com/spreadsheets/d/1IYY_tgx_IHuhSq3AJ5eI5OnqOPBNLWSHKh2a30DoXe8/edit?usp=sharing"",""สตูล!I530"")"),9)</f>
        <v>9</v>
      </c>
      <c r="J635" s="517">
        <f ca="1">IFERROR(__xludf.DUMMYFUNCTION("IMPORTRANGE(""https://docs.google.com/spreadsheets/d/1IYY_tgx_IHuhSq3AJ5eI5OnqOPBNLWSHKh2a30DoXe8/edit?usp=sharing"",""สตูล!J530"")"),9)</f>
        <v>9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G4" sqref="G4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2.0898437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266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6953908.2000000002</v>
      </c>
      <c r="M8" s="23">
        <f t="shared" ca="1" si="0"/>
        <v>3254308</v>
      </c>
      <c r="N8" s="23">
        <f t="shared" ca="1" si="0"/>
        <v>2896250.0399999991</v>
      </c>
      <c r="O8" s="22">
        <f t="shared" ref="O8:O16" ca="1" si="1">IF(L8&gt;0,N8*100/L8,0)</f>
        <v>41.649241788955436</v>
      </c>
      <c r="P8" s="22">
        <f t="shared" ref="P8:P16" ca="1" si="2">IF(M8&gt;0,N8*100/M8,0)</f>
        <v>88.997416347807246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6953908.2000000002</v>
      </c>
      <c r="M10" s="30">
        <f t="shared" ca="1" si="4"/>
        <v>3254308</v>
      </c>
      <c r="N10" s="30">
        <f t="shared" ca="1" si="4"/>
        <v>2896250.0399999991</v>
      </c>
      <c r="O10" s="29">
        <f t="shared" ca="1" si="1"/>
        <v>41.649241788955436</v>
      </c>
      <c r="P10" s="29">
        <f t="shared" ca="1" si="2"/>
        <v>88.997416347807246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6805108.2000000002</v>
      </c>
      <c r="M12" s="38">
        <f t="shared" ca="1" si="6"/>
        <v>3105508</v>
      </c>
      <c r="N12" s="38">
        <f t="shared" ca="1" si="6"/>
        <v>2747450.0399999991</v>
      </c>
      <c r="O12" s="38">
        <f t="shared" ca="1" si="1"/>
        <v>40.373348362043657</v>
      </c>
      <c r="P12" s="38">
        <f t="shared" ca="1" si="2"/>
        <v>88.470229025331733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2388200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4416908.2</v>
      </c>
      <c r="M14" s="38">
        <f t="shared" si="8"/>
        <v>0</v>
      </c>
      <c r="N14" s="38">
        <f t="shared" ca="1" si="8"/>
        <v>742236.11999999895</v>
      </c>
      <c r="O14" s="41">
        <f t="shared" ca="1" si="1"/>
        <v>16.804427132988611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148800</v>
      </c>
      <c r="M16" s="38">
        <f t="shared" ca="1" si="10"/>
        <v>148800</v>
      </c>
      <c r="N16" s="38">
        <f t="shared" ca="1" si="10"/>
        <v>148800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4195170</v>
      </c>
      <c r="M18" s="23">
        <f t="shared" ca="1" si="11"/>
        <v>3254308</v>
      </c>
      <c r="N18" s="23">
        <f t="shared" ca="1" si="11"/>
        <v>2154013.92</v>
      </c>
      <c r="O18" s="22">
        <f t="shared" ref="O18:O20" ca="1" si="12">IF(L18&gt;0,N18*100/L18,0)</f>
        <v>51.345092570742068</v>
      </c>
      <c r="P18" s="22">
        <f t="shared" ref="P18:P26" ca="1" si="13">IF(M18&gt;0,N18*100/M18,0)</f>
        <v>66.189614504834822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4195170</v>
      </c>
      <c r="M20" s="30">
        <f t="shared" ca="1" si="15"/>
        <v>3254308</v>
      </c>
      <c r="N20" s="30">
        <f t="shared" ca="1" si="15"/>
        <v>2154013.92</v>
      </c>
      <c r="O20" s="29">
        <f t="shared" ca="1" si="12"/>
        <v>51.345092570742068</v>
      </c>
      <c r="P20" s="29">
        <f t="shared" ca="1" si="13"/>
        <v>66.189614504834822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4046370</v>
      </c>
      <c r="M22" s="42">
        <f t="shared" ca="1" si="18"/>
        <v>3105508</v>
      </c>
      <c r="N22" s="41">
        <f t="shared" ca="1" si="18"/>
        <v>2005213.92</v>
      </c>
      <c r="O22" s="41">
        <f t="shared" ca="1" si="17"/>
        <v>49.555871558952838</v>
      </c>
      <c r="P22" s="41">
        <f t="shared" ca="1" si="13"/>
        <v>64.569594410962722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2388200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1658170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148800</v>
      </c>
      <c r="M26" s="50">
        <f t="shared" ca="1" si="22"/>
        <v>148800</v>
      </c>
      <c r="N26" s="50">
        <f t="shared" ca="1" si="22"/>
        <v>148800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2758738.2</v>
      </c>
      <c r="M28" s="23">
        <f t="shared" si="23"/>
        <v>0</v>
      </c>
      <c r="N28" s="23">
        <f t="shared" ca="1" si="23"/>
        <v>742236.11999999895</v>
      </c>
      <c r="O28" s="22">
        <f t="shared" ref="O28:O30" ca="1" si="24">IF(L28&gt;0,N28*100/L28,0)</f>
        <v>26.904913267957028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2758738.2</v>
      </c>
      <c r="M30" s="30">
        <f t="shared" si="27"/>
        <v>0</v>
      </c>
      <c r="N30" s="30">
        <f t="shared" ca="1" si="27"/>
        <v>742236.11999999895</v>
      </c>
      <c r="O30" s="29">
        <f t="shared" ca="1" si="24"/>
        <v>26.904913267957028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2758738.2</v>
      </c>
      <c r="M32" s="41">
        <f t="shared" si="30"/>
        <v>0</v>
      </c>
      <c r="N32" s="41">
        <f t="shared" ca="1" si="30"/>
        <v>742236.11999999895</v>
      </c>
      <c r="O32" s="41">
        <f t="shared" ca="1" si="29"/>
        <v>26.904913267957028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2758738.2</v>
      </c>
      <c r="M34" s="41">
        <f t="shared" si="32"/>
        <v>0</v>
      </c>
      <c r="N34" s="41">
        <f t="shared" ca="1" si="32"/>
        <v>742236.11999999895</v>
      </c>
      <c r="O34" s="41">
        <f t="shared" ca="1" si="29"/>
        <v>26.904913267957028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4195170</v>
      </c>
      <c r="M37" s="55">
        <f t="shared" ca="1" si="33"/>
        <v>3254308</v>
      </c>
      <c r="N37" s="55">
        <f t="shared" ca="1" si="33"/>
        <v>2154013.92</v>
      </c>
      <c r="O37" s="56">
        <f t="shared" ca="1" si="29"/>
        <v>51.345092570742068</v>
      </c>
      <c r="P37" s="56">
        <f t="shared" ca="1" si="25"/>
        <v>66.189614504834822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530800</v>
      </c>
      <c r="M41" s="79">
        <f t="shared" ca="1" si="34"/>
        <v>398100</v>
      </c>
      <c r="N41" s="79">
        <f t="shared" ca="1" si="34"/>
        <v>310982.18</v>
      </c>
      <c r="O41" s="78">
        <f t="shared" ref="O41:O43" ca="1" si="35">IF(L41&gt;0,N41*100/L41,0)</f>
        <v>58.587449133383572</v>
      </c>
      <c r="P41" s="78">
        <f t="shared" ref="P41:P43" ca="1" si="36">IF(M41&gt;0,N41*100/M41,0)</f>
        <v>78.116598844511429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530800</v>
      </c>
      <c r="M43" s="79">
        <f t="shared" ca="1" si="38"/>
        <v>398100</v>
      </c>
      <c r="N43" s="79">
        <f t="shared" ca="1" si="38"/>
        <v>310982.18</v>
      </c>
      <c r="O43" s="78">
        <f t="shared" ca="1" si="35"/>
        <v>58.587449133383572</v>
      </c>
      <c r="P43" s="78">
        <f t="shared" ca="1" si="36"/>
        <v>78.116598844511429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530800</v>
      </c>
      <c r="M45" s="91">
        <f ca="1">IFERROR(__xludf.DUMMYFUNCTION("IMPORTRANGE(""https://docs.google.com/spreadsheets/d/1Yj_ptqi66GCucihVvJfMjLAmec39IyEx_6qawtMGysU/edit?usp=sharing"",""สบก!Q94"")"),398100)</f>
        <v>398100</v>
      </c>
      <c r="N45" s="91">
        <f ca="1">IFERROR(__xludf.DUMMYFUNCTION("IMPORTRANGE(""https://docs.google.com/spreadsheets/d/1Yj_ptqi66GCucihVvJfMjLAmec39IyEx_6qawtMGysU/edit?usp=sharing"",""สบก!R94"")"),310982.18)</f>
        <v>310982.18</v>
      </c>
      <c r="O45" s="92">
        <f ca="1">IF(L45&gt;0,N45*100/L45,0)</f>
        <v>58.587449133383572</v>
      </c>
      <c r="P45" s="92">
        <f ca="1">IF(M45&gt;0,N45*100/M45,0)</f>
        <v>78.116598844511429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IFERROR(__xludf.DUMMYFUNCTION("IMPORTRANGE(""https://docs.google.com/spreadsheets/d/1Yj_ptqi66GCucihVvJfMjLAmec39IyEx_6qawtMGysU/edit?usp=sharing"",""สบก!M94"")"),530800)</f>
        <v>530800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IFERROR(__xludf.DUMMYFUNCTION("IMPORTRANGE(""https://docs.google.com/spreadsheets/d/1Yj_ptqi66GCucihVvJfMjLAmec39IyEx_6qawtMGysU/edit?usp=sharing"",""สบก!N94"")"),0)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IFERROR(__xludf.DUMMYFUNCTION("IMPORTRANGE(""https://docs.google.com/spreadsheets/d/1Yj_ptqi66GCucihVvJfMjLAmec39IyEx_6qawtMGysU/edit?usp=sharing"",""สบก!O94"")"),0)</f>
        <v>0</v>
      </c>
      <c r="M49" s="101"/>
      <c r="N49" s="91">
        <f ca="1">IFERROR(__xludf.DUMMYFUNCTION("IMPORTRANGE(""https://docs.google.com/spreadsheets/d/1Yj_ptqi66GCucihVvJfMjLAmec39IyEx_6qawtMGysU/edit?usp=sharing"",""สบก!S94"")"),0)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670000</v>
      </c>
      <c r="M53" s="125">
        <f t="shared" ca="1" si="39"/>
        <v>529893</v>
      </c>
      <c r="N53" s="125">
        <f t="shared" ca="1" si="39"/>
        <v>412650</v>
      </c>
      <c r="O53" s="124">
        <f t="shared" ref="O53:O55" ca="1" si="40">IF(L53&gt;0,N53*100/L53,0)</f>
        <v>61.589552238805972</v>
      </c>
      <c r="P53" s="124">
        <f t="shared" ref="P53:P55" ca="1" si="41">IF(M53&gt;0,N53*100/M53,0)</f>
        <v>77.874212340982041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670000</v>
      </c>
      <c r="M55" s="125">
        <f t="shared" ca="1" si="43"/>
        <v>529893</v>
      </c>
      <c r="N55" s="125">
        <f t="shared" ca="1" si="43"/>
        <v>412650</v>
      </c>
      <c r="O55" s="124">
        <f t="shared" ca="1" si="40"/>
        <v>61.589552238805972</v>
      </c>
      <c r="P55" s="124">
        <f t="shared" ca="1" si="41"/>
        <v>77.874212340982041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670000</v>
      </c>
      <c r="M57" s="91">
        <f ca="1">IFERROR(__xludf.DUMMYFUNCTION("IMPORTRANGE(""https://docs.google.com/spreadsheets/d/1Yj_ptqi66GCucihVvJfMjLAmec39IyEx_6qawtMGysU/edit?usp=sharing"",""สบก!Z94"")"),529893)</f>
        <v>529893</v>
      </c>
      <c r="N57" s="91">
        <f ca="1">IFERROR(__xludf.DUMMYFUNCTION("IMPORTRANGE(""https://docs.google.com/spreadsheets/d/1Yj_ptqi66GCucihVvJfMjLAmec39IyEx_6qawtMGysU/edit?usp=sharing"",""สบก!AA94"")"),412650)</f>
        <v>412650</v>
      </c>
      <c r="O57" s="92">
        <f ca="1">IF(L57&gt;0,N57*100/L57,0)</f>
        <v>61.589552238805972</v>
      </c>
      <c r="P57" s="92">
        <f ca="1">IF(M57&gt;0,N57*100/M57,0)</f>
        <v>77.874212340982041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IFERROR(__xludf.DUMMYFUNCTION("IMPORTRANGE(""https://docs.google.com/spreadsheets/d/1Yj_ptqi66GCucihVvJfMjLAmec39IyEx_6qawtMGysU/edit?usp=sharing"",""สบก!V94"")"),670000)</f>
        <v>670000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IFERROR(__xludf.DUMMYFUNCTION("IMPORTRANGE(""https://docs.google.com/spreadsheets/d/1Yj_ptqi66GCucihVvJfMjLAmec39IyEx_6qawtMGysU/edit?usp=sharing"",""สบก!W94"")"),0)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IFERROR(__xludf.DUMMYFUNCTION("IMPORTRANGE(""https://docs.google.com/spreadsheets/d/1Yj_ptqi66GCucihVvJfMjLAmec39IyEx_6qawtMGysU/edit?usp=sharing"",""สบก!X94"")"),0)</f>
        <v>0</v>
      </c>
      <c r="M61" s="101"/>
      <c r="N61" s="91">
        <f ca="1">IFERROR(__xludf.DUMMYFUNCTION("IMPORTRANGE(""https://docs.google.com/spreadsheets/d/1Yj_ptqi66GCucihVvJfMjLAmec39IyEx_6qawtMGysU/edit?usp=sharing"",""สบก!AB94"")"),0)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IFERROR(__xludf.DUMMYFUNCTION("IMPORTRANGE(""https://docs.google.com/spreadsheets/d/1IYY_tgx_IHuhSq3AJ5eI5OnqOPBNLWSHKh2a30DoXe8/edit?usp=sharing"",""สุราษฎร์ธานี!I9"")"),0)</f>
        <v>0</v>
      </c>
      <c r="J64" s="146">
        <f ca="1">IFERROR(__xludf.DUMMYFUNCTION("IMPORTRANGE(""https://docs.google.com/spreadsheets/d/1IYY_tgx_IHuhSq3AJ5eI5OnqOPBNLWSHKh2a30DoXe8/edit?usp=sharing"",""สุราษฎร์ธานี!J9"")"),0)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IFERROR(__xludf.DUMMYFUNCTION("IMPORTRANGE(""https://docs.google.com/spreadsheets/d/1IYY_tgx_IHuhSq3AJ5eI5OnqOPBNLWSHKh2a30DoXe8/edit?usp=sharing"",""สุราษฎร์ธานี!I10"")"),0)</f>
        <v>0</v>
      </c>
      <c r="J65" s="146">
        <f ca="1">IFERROR(__xludf.DUMMYFUNCTION("IMPORTRANGE(""https://docs.google.com/spreadsheets/d/1IYY_tgx_IHuhSq3AJ5eI5OnqOPBNLWSHKh2a30DoXe8/edit?usp=sharing"",""สุราษฎร์ธานี!J10"")"),0)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IFERROR(__xludf.DUMMYFUNCTION("IMPORTRANGE(""https://docs.google.com/spreadsheets/d/1Yj_ptqi66GCucihVvJfMjLAmec39IyEx_6qawtMGysU/edit?usp=sharing"",""สบก!AI94"")"),0)</f>
        <v>0</v>
      </c>
      <c r="N70" s="174">
        <f ca="1">IFERROR(__xludf.DUMMYFUNCTION("IMPORTRANGE(""https://docs.google.com/spreadsheets/d/1Yj_ptqi66GCucihVvJfMjLAmec39IyEx_6qawtMGysU/edit?usp=sharing"",""สบก!AJ94"")"),0)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IFERROR(__xludf.DUMMYFUNCTION("IMPORTRANGE(""https://docs.google.com/spreadsheets/d/1Yj_ptqi66GCucihVvJfMjLAmec39IyEx_6qawtMGysU/edit?usp=sharing"",""สบก!AE94"")"),0)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IFERROR(__xludf.DUMMYFUNCTION("IMPORTRANGE(""https://docs.google.com/spreadsheets/d/1Yj_ptqi66GCucihVvJfMjLAmec39IyEx_6qawtMGysU/edit?usp=sharing"",""สบก!AF94"")"),0)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IFERROR(__xludf.DUMMYFUNCTION("IMPORTRANGE(""https://docs.google.com/spreadsheets/d/1Yj_ptqi66GCucihVvJfMjLAmec39IyEx_6qawtMGysU/edit?usp=sharing"",""สบก!AG94"")"),0)</f>
        <v>0</v>
      </c>
      <c r="M74" s="101"/>
      <c r="N74" s="91">
        <f ca="1">IFERROR(__xludf.DUMMYFUNCTION("IMPORTRANGE(""https://docs.google.com/spreadsheets/d/1Yj_ptqi66GCucihVvJfMjLAmec39IyEx_6qawtMGysU/edit?usp=sharing"",""สบก!AK94"")"),0)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IFERROR(__xludf.DUMMYFUNCTION("IMPORTRANGE(""https://docs.google.com/spreadsheets/d/1IYY_tgx_IHuhSq3AJ5eI5OnqOPBNLWSHKh2a30DoXe8/edit?usp=sharing"",""สุราษฎร์ธานี!J16"")"),0)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IFERROR(__xludf.DUMMYFUNCTION("IMPORTRANGE(""https://docs.google.com/spreadsheets/d/1IYY_tgx_IHuhSq3AJ5eI5OnqOPBNLWSHKh2a30DoXe8/edit?usp=sharing"",""สุราษฎร์ธานี!J17"")"),0)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IFERROR(__xludf.DUMMYFUNCTION("IMPORTRANGE(""https://docs.google.com/spreadsheets/d/1IYY_tgx_IHuhSq3AJ5eI5OnqOPBNLWSHKh2a30DoXe8/edit?usp=sharing"",""สุราษฎร์ธานี!J18"")"),0)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IFERROR(__xludf.DUMMYFUNCTION("IMPORTRANGE(""https://docs.google.com/spreadsheets/d/1IYY_tgx_IHuhSq3AJ5eI5OnqOPBNLWSHKh2a30DoXe8/edit?usp=sharing"",""สุราษฎร์ธานี!J19"")"),0)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IFERROR(__xludf.DUMMYFUNCTION("IMPORTRANGE(""https://docs.google.com/spreadsheets/d/1IYY_tgx_IHuhSq3AJ5eI5OnqOPBNLWSHKh2a30DoXe8/edit?usp=sharing"",""สุราษฎร์ธานี!I20"")"),0)</f>
        <v>0</v>
      </c>
      <c r="J80" s="207">
        <f ca="1">IFERROR(__xludf.DUMMYFUNCTION("IMPORTRANGE(""https://docs.google.com/spreadsheets/d/1IYY_tgx_IHuhSq3AJ5eI5OnqOPBNLWSHKh2a30DoXe8/edit?usp=sharing"",""สุราษฎร์ธานี!J20"")"),0)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IFERROR(__xludf.DUMMYFUNCTION("IMPORTRANGE(""https://docs.google.com/spreadsheets/d/1IYY_tgx_IHuhSq3AJ5eI5OnqOPBNLWSHKh2a30DoXe8/edit?usp=sharing"",""สุราษฎร์ธานี!I21"")"),0)</f>
        <v>0</v>
      </c>
      <c r="J81" s="207">
        <f ca="1">IFERROR(__xludf.DUMMYFUNCTION("IMPORTRANGE(""https://docs.google.com/spreadsheets/d/1IYY_tgx_IHuhSq3AJ5eI5OnqOPBNLWSHKh2a30DoXe8/edit?usp=sharing"",""สุราษฎร์ธานี!J21"")"),0)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IFERROR(__xludf.DUMMYFUNCTION("IMPORTRANGE(""https://docs.google.com/spreadsheets/d/1IYY_tgx_IHuhSq3AJ5eI5OnqOPBNLWSHKh2a30DoXe8/edit?usp=sharing"",""สุราษฎร์ธานี!I22"")"),0)</f>
        <v>0</v>
      </c>
      <c r="J82" s="210">
        <f ca="1">IFERROR(__xludf.DUMMYFUNCTION("IMPORTRANGE(""https://docs.google.com/spreadsheets/d/1IYY_tgx_IHuhSq3AJ5eI5OnqOPBNLWSHKh2a30DoXe8/edit?usp=sharing"",""สุราษฎร์ธานี!J22"")"),0)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IFERROR(__xludf.DUMMYFUNCTION("IMPORTRANGE(""https://docs.google.com/spreadsheets/d/1IYY_tgx_IHuhSq3AJ5eI5OnqOPBNLWSHKh2a30DoXe8/edit?usp=sharing"",""สุราษฎร์ธานี!I23"")"),0)</f>
        <v>0</v>
      </c>
      <c r="J83" s="210">
        <f ca="1">IFERROR(__xludf.DUMMYFUNCTION("IMPORTRANGE(""https://docs.google.com/spreadsheets/d/1IYY_tgx_IHuhSq3AJ5eI5OnqOPBNLWSHKh2a30DoXe8/edit?usp=sharing"",""สุราษฎร์ธานี!J23"")"),0)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IFERROR(__xludf.DUMMYFUNCTION("IMPORTRANGE(""https://docs.google.com/spreadsheets/d/1IYY_tgx_IHuhSq3AJ5eI5OnqOPBNLWSHKh2a30DoXe8/edit?usp=sharing"",""สุราษฎร์ธานี!I24"")"),0)</f>
        <v>0</v>
      </c>
      <c r="J84" s="195">
        <f ca="1">IFERROR(__xludf.DUMMYFUNCTION("IMPORTRANGE(""https://docs.google.com/spreadsheets/d/1IYY_tgx_IHuhSq3AJ5eI5OnqOPBNLWSHKh2a30DoXe8/edit?usp=sharing"",""สุราษฎร์ธานี!J24"")"),0)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IFERROR(__xludf.DUMMYFUNCTION("IMPORTRANGE(""https://docs.google.com/spreadsheets/d/1IYY_tgx_IHuhSq3AJ5eI5OnqOPBNLWSHKh2a30DoXe8/edit?usp=sharing"",""สุราษฎร์ธานี!I25"")"),0)</f>
        <v>0</v>
      </c>
      <c r="J85" s="195">
        <f ca="1">IFERROR(__xludf.DUMMYFUNCTION("IMPORTRANGE(""https://docs.google.com/spreadsheets/d/1IYY_tgx_IHuhSq3AJ5eI5OnqOPBNLWSHKh2a30DoXe8/edit?usp=sharing"",""สุราษฎร์ธานี!J25"")"),0)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IFERROR(__xludf.DUMMYFUNCTION("IMPORTRANGE(""https://docs.google.com/spreadsheets/d/1IYY_tgx_IHuhSq3AJ5eI5OnqOPBNLWSHKh2a30DoXe8/edit?usp=sharing"",""สุราษฎร์ธานี!I26"")"),0)</f>
        <v>0</v>
      </c>
      <c r="J86" s="210">
        <f ca="1">IFERROR(__xludf.DUMMYFUNCTION("IMPORTRANGE(""https://docs.google.com/spreadsheets/d/1IYY_tgx_IHuhSq3AJ5eI5OnqOPBNLWSHKh2a30DoXe8/edit?usp=sharing"",""สุราษฎร์ธานี!J26"")"),0)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IFERROR(__xludf.DUMMYFUNCTION("IMPORTRANGE(""https://docs.google.com/spreadsheets/d/1IYY_tgx_IHuhSq3AJ5eI5OnqOPBNLWSHKh2a30DoXe8/edit?usp=sharing"",""สุราษฎร์ธานี!I27"")"),0)</f>
        <v>0</v>
      </c>
      <c r="J87" s="210">
        <f ca="1">IFERROR(__xludf.DUMMYFUNCTION("IMPORTRANGE(""https://docs.google.com/spreadsheets/d/1IYY_tgx_IHuhSq3AJ5eI5OnqOPBNLWSHKh2a30DoXe8/edit?usp=sharing"",""สุราษฎร์ธานี!J27"")"),0)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IFERROR(__xludf.DUMMYFUNCTION("IMPORTRANGE(""https://docs.google.com/spreadsheets/d/1IYY_tgx_IHuhSq3AJ5eI5OnqOPBNLWSHKh2a30DoXe8/edit?usp=sharing"",""สุราษฎร์ธานี!I28"")"),0)</f>
        <v>0</v>
      </c>
      <c r="J88" s="210">
        <f ca="1">IFERROR(__xludf.DUMMYFUNCTION("IMPORTRANGE(""https://docs.google.com/spreadsheets/d/1IYY_tgx_IHuhSq3AJ5eI5OnqOPBNLWSHKh2a30DoXe8/edit?usp=sharing"",""สุราษฎร์ธานี!J28"")"),0)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IFERROR(__xludf.DUMMYFUNCTION("IMPORTRANGE(""https://docs.google.com/spreadsheets/d/1IYY_tgx_IHuhSq3AJ5eI5OnqOPBNLWSHKh2a30DoXe8/edit?usp=sharing"",""สุราษฎร์ธานี!J29"")"),0)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IFERROR(__xludf.DUMMYFUNCTION("IMPORTRANGE(""https://docs.google.com/spreadsheets/d/1IYY_tgx_IHuhSq3AJ5eI5OnqOPBNLWSHKh2a30DoXe8/edit?usp=sharing"",""สุราษฎร์ธานี!J30"")"),0)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IFERROR(__xludf.DUMMYFUNCTION("IMPORTRANGE(""https://docs.google.com/spreadsheets/d/1IYY_tgx_IHuhSq3AJ5eI5OnqOPBNLWSHKh2a30DoXe8/edit?usp=sharing"",""สุราษฎร์ธานี!I32"")"),0)</f>
        <v>0</v>
      </c>
      <c r="J92" s="146">
        <f ca="1">IFERROR(__xludf.DUMMYFUNCTION("IMPORTRANGE(""https://docs.google.com/spreadsheets/d/1IYY_tgx_IHuhSq3AJ5eI5OnqOPBNLWSHKh2a30DoXe8/edit?usp=sharing"",""สุราษฎร์ธานี!J32"")"),0)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IFERROR(__xludf.DUMMYFUNCTION("IMPORTRANGE(""https://docs.google.com/spreadsheets/d/1IYY_tgx_IHuhSq3AJ5eI5OnqOPBNLWSHKh2a30DoXe8/edit?usp=sharing"",""สุราษฎร์ธานี!I33"")"),0)</f>
        <v>0</v>
      </c>
      <c r="J93" s="146">
        <f ca="1">IFERROR(__xludf.DUMMYFUNCTION("IMPORTRANGE(""https://docs.google.com/spreadsheets/d/1IYY_tgx_IHuhSq3AJ5eI5OnqOPBNLWSHKh2a30DoXe8/edit?usp=sharing"",""สุราษฎร์ธานี!J33"")"),0)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IFERROR(__xludf.DUMMYFUNCTION("IMPORTRANGE(""https://docs.google.com/spreadsheets/d/1Yj_ptqi66GCucihVvJfMjLAmec39IyEx_6qawtMGysU/edit?usp=sharing"",""สบก!AR94"")"),0)</f>
        <v>0</v>
      </c>
      <c r="N98" s="174">
        <f ca="1">IFERROR(__xludf.DUMMYFUNCTION("IMPORTRANGE(""https://docs.google.com/spreadsheets/d/1Yj_ptqi66GCucihVvJfMjLAmec39IyEx_6qawtMGysU/edit?usp=sharing"",""สบก!AS94"")"),0)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IFERROR(__xludf.DUMMYFUNCTION("IMPORTRANGE(""https://docs.google.com/spreadsheets/d/1Yj_ptqi66GCucihVvJfMjLAmec39IyEx_6qawtMGysU/edit?usp=sharing"",""สบก!AN94"")"),0)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IFERROR(__xludf.DUMMYFUNCTION("IMPORTRANGE(""https://docs.google.com/spreadsheets/d/1Yj_ptqi66GCucihVvJfMjLAmec39IyEx_6qawtMGysU/edit?usp=sharing"",""สบก!AO94"")"),0)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IFERROR(__xludf.DUMMYFUNCTION("IMPORTRANGE(""https://docs.google.com/spreadsheets/d/1Yj_ptqi66GCucihVvJfMjLAmec39IyEx_6qawtMGysU/edit?usp=sharing"",""สบก!AP94"")"),0)</f>
        <v>0</v>
      </c>
      <c r="M102" s="101"/>
      <c r="N102" s="91">
        <f ca="1">IFERROR(__xludf.DUMMYFUNCTION("IMPORTRANGE(""https://docs.google.com/spreadsheets/d/1Yj_ptqi66GCucihVvJfMjLAmec39IyEx_6qawtMGysU/edit?usp=sharing"",""สบก!AT94"")"),0)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IFERROR(__xludf.DUMMYFUNCTION("IMPORTRANGE(""https://docs.google.com/spreadsheets/d/1IYY_tgx_IHuhSq3AJ5eI5OnqOPBNLWSHKh2a30DoXe8/edit?usp=sharing"",""สุราษฎร์ธานี!J39"")"),0)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IFERROR(__xludf.DUMMYFUNCTION("IMPORTRANGE(""https://docs.google.com/spreadsheets/d/1IYY_tgx_IHuhSq3AJ5eI5OnqOPBNLWSHKh2a30DoXe8/edit?usp=sharing"",""สุราษฎร์ธานี!J40"")"),0)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IFERROR(__xludf.DUMMYFUNCTION("IMPORTRANGE(""https://docs.google.com/spreadsheets/d/1IYY_tgx_IHuhSq3AJ5eI5OnqOPBNLWSHKh2a30DoXe8/edit?usp=sharing"",""สุราษฎร์ธานี!J41"")"),0)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IFERROR(__xludf.DUMMYFUNCTION("IMPORTRANGE(""https://docs.google.com/spreadsheets/d/1IYY_tgx_IHuhSq3AJ5eI5OnqOPBNLWSHKh2a30DoXe8/edit?usp=sharing"",""สุราษฎร์ธานี!J42"")"),0)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IFERROR(__xludf.DUMMYFUNCTION("IMPORTRANGE(""https://docs.google.com/spreadsheets/d/1IYY_tgx_IHuhSq3AJ5eI5OnqOPBNLWSHKh2a30DoXe8/edit?usp=sharing"",""สุราษฎร์ธานี!I43"")"),0)</f>
        <v>0</v>
      </c>
      <c r="J108" s="210">
        <f ca="1">IFERROR(__xludf.DUMMYFUNCTION("IMPORTRANGE(""https://docs.google.com/spreadsheets/d/1IYY_tgx_IHuhSq3AJ5eI5OnqOPBNLWSHKh2a30DoXe8/edit?usp=sharing"",""สุราษฎร์ธานี!J43"")"),0)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IFERROR(__xludf.DUMMYFUNCTION("IMPORTRANGE(""https://docs.google.com/spreadsheets/d/1IYY_tgx_IHuhSq3AJ5eI5OnqOPBNLWSHKh2a30DoXe8/edit?usp=sharing"",""สุราษฎร์ธานี!I44"")"),0)</f>
        <v>0</v>
      </c>
      <c r="J109" s="210">
        <f ca="1">IFERROR(__xludf.DUMMYFUNCTION("IMPORTRANGE(""https://docs.google.com/spreadsheets/d/1IYY_tgx_IHuhSq3AJ5eI5OnqOPBNLWSHKh2a30DoXe8/edit?usp=sharing"",""สุราษฎร์ธานี!J44"")"),0)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IFERROR(__xludf.DUMMYFUNCTION("IMPORTRANGE(""https://docs.google.com/spreadsheets/d/1IYY_tgx_IHuhSq3AJ5eI5OnqOPBNLWSHKh2a30DoXe8/edit?usp=sharing"",""สุราษฎร์ธานี!I45"")"),0)</f>
        <v>0</v>
      </c>
      <c r="J110" s="210">
        <f ca="1">IFERROR(__xludf.DUMMYFUNCTION("IMPORTRANGE(""https://docs.google.com/spreadsheets/d/1IYY_tgx_IHuhSq3AJ5eI5OnqOPBNLWSHKh2a30DoXe8/edit?usp=sharing"",""สุราษฎร์ธานี!J45"")"),0)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IFERROR(__xludf.DUMMYFUNCTION("IMPORTRANGE(""https://docs.google.com/spreadsheets/d/1IYY_tgx_IHuhSq3AJ5eI5OnqOPBNLWSHKh2a30DoXe8/edit?usp=sharing"",""สุราษฎร์ธานี!I46"")"),0)</f>
        <v>0</v>
      </c>
      <c r="J111" s="210">
        <f ca="1">IFERROR(__xludf.DUMMYFUNCTION("IMPORTRANGE(""https://docs.google.com/spreadsheets/d/1IYY_tgx_IHuhSq3AJ5eI5OnqOPBNLWSHKh2a30DoXe8/edit?usp=sharing"",""สุราษฎร์ธานี!J46"")"),0)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IFERROR(__xludf.DUMMYFUNCTION("IMPORTRANGE(""https://docs.google.com/spreadsheets/d/1IYY_tgx_IHuhSq3AJ5eI5OnqOPBNLWSHKh2a30DoXe8/edit?usp=sharing"",""สุราษฎร์ธานี!I47"")"),0)</f>
        <v>0</v>
      </c>
      <c r="J112" s="210">
        <f ca="1">IFERROR(__xludf.DUMMYFUNCTION("IMPORTRANGE(""https://docs.google.com/spreadsheets/d/1IYY_tgx_IHuhSq3AJ5eI5OnqOPBNLWSHKh2a30DoXe8/edit?usp=sharing"",""สุราษฎร์ธานี!J47"")"),0)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IFERROR(__xludf.DUMMYFUNCTION("IMPORTRANGE(""https://docs.google.com/spreadsheets/d/1IYY_tgx_IHuhSq3AJ5eI5OnqOPBNLWSHKh2a30DoXe8/edit?usp=sharing"",""สุราษฎร์ธานี!I48"")"),0)</f>
        <v>0</v>
      </c>
      <c r="J113" s="210">
        <f ca="1">IFERROR(__xludf.DUMMYFUNCTION("IMPORTRANGE(""https://docs.google.com/spreadsheets/d/1IYY_tgx_IHuhSq3AJ5eI5OnqOPBNLWSHKh2a30DoXe8/edit?usp=sharing"",""สุราษฎร์ธานี!J48"")"),0)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IFERROR(__xludf.DUMMYFUNCTION("IMPORTRANGE(""https://docs.google.com/spreadsheets/d/1IYY_tgx_IHuhSq3AJ5eI5OnqOPBNLWSHKh2a30DoXe8/edit?usp=sharing"",""สุราษฎร์ธานี!J49"")"),0)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IFERROR(__xludf.DUMMYFUNCTION("IMPORTRANGE(""https://docs.google.com/spreadsheets/d/1IYY_tgx_IHuhSq3AJ5eI5OnqOPBNLWSHKh2a30DoXe8/edit?usp=sharing"",""สุราษฎร์ธานี!J50"")"),0)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IFERROR(__xludf.DUMMYFUNCTION("IMPORTRANGE(""https://docs.google.com/spreadsheets/d/1IYY_tgx_IHuhSq3AJ5eI5OnqOPBNLWSHKh2a30DoXe8/edit?usp=sharing"",""สุราษฎร์ธานี!I52"")"),15)</f>
        <v>15</v>
      </c>
      <c r="J117" s="146">
        <f ca="1">IFERROR(__xludf.DUMMYFUNCTION("IMPORTRANGE(""https://docs.google.com/spreadsheets/d/1IYY_tgx_IHuhSq3AJ5eI5OnqOPBNLWSHKh2a30DoXe8/edit?usp=sharing"",""สุราษฎร์ธานี!J52"")"),15)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50950</v>
      </c>
      <c r="O118" s="155">
        <f t="shared" ref="O118:O120" ca="1" si="59">IF(L118&gt;0,N118*100/L118,0)</f>
        <v>78.51749113885036</v>
      </c>
      <c r="P118" s="155">
        <f t="shared" ref="P118:P120" ca="1" si="60">IF(M118&gt;0,N118*100/M118,0)</f>
        <v>78.51749113885036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50950</v>
      </c>
      <c r="O120" s="160">
        <f t="shared" ca="1" si="59"/>
        <v>78.51749113885036</v>
      </c>
      <c r="P120" s="160">
        <f t="shared" ca="1" si="60"/>
        <v>78.51749113885036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IFERROR(__xludf.DUMMYFUNCTION("IMPORTRANGE(""https://docs.google.com/spreadsheets/d/1Yj_ptqi66GCucihVvJfMjLAmec39IyEx_6qawtMGysU/edit?usp=sharing"",""สบก!BA94"")"),64890)</f>
        <v>64890</v>
      </c>
      <c r="N122" s="174">
        <f ca="1">IFERROR(__xludf.DUMMYFUNCTION("IMPORTRANGE(""https://docs.google.com/spreadsheets/d/1Yj_ptqi66GCucihVvJfMjLAmec39IyEx_6qawtMGysU/edit?usp=sharing"",""สบก!BB94"")"),50950)</f>
        <v>50950</v>
      </c>
      <c r="O122" s="175">
        <f ca="1">IF(L122&gt;0,N122*100/L122,0)</f>
        <v>78.51749113885036</v>
      </c>
      <c r="P122" s="175">
        <f ca="1">IF(M122&gt;0,N122*100/M122,0)</f>
        <v>78.51749113885036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IFERROR(__xludf.DUMMYFUNCTION("IMPORTRANGE(""https://docs.google.com/spreadsheets/d/1Yj_ptqi66GCucihVvJfMjLAmec39IyEx_6qawtMGysU/edit?usp=sharing"",""สบก!AW94"")"),0)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IFERROR(__xludf.DUMMYFUNCTION("IMPORTRANGE(""https://docs.google.com/spreadsheets/d/1Yj_ptqi66GCucihVvJfMjLAmec39IyEx_6qawtMGysU/edit?usp=sharing"",""สบก!AX94"")"),64890)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IFERROR(__xludf.DUMMYFUNCTION("IMPORTRANGE(""https://docs.google.com/spreadsheets/d/1Yj_ptqi66GCucihVvJfMjLAmec39IyEx_6qawtMGysU/edit?usp=sharing"",""สบก!AY94"")"),0)</f>
        <v>0</v>
      </c>
      <c r="M126" s="101"/>
      <c r="N126" s="91">
        <f ca="1">IFERROR(__xludf.DUMMYFUNCTION("IMPORTRANGE(""https://docs.google.com/spreadsheets/d/1Yj_ptqi66GCucihVvJfMjLAmec39IyEx_6qawtMGysU/edit?usp=sharing"",""สบก!BC94"")"),0)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267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IFERROR(__xludf.DUMMYFUNCTION("IMPORTRANGE(""https://docs.google.com/spreadsheets/d/1IYY_tgx_IHuhSq3AJ5eI5OnqOPBNLWSHKh2a30DoXe8/edit?usp=sharing"",""สุราษฎร์ธานี!J58"")"),0)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IFERROR(__xludf.DUMMYFUNCTION("IMPORTRANGE(""https://docs.google.com/spreadsheets/d/1IYY_tgx_IHuhSq3AJ5eI5OnqOPBNLWSHKh2a30DoXe8/edit?usp=sharing"",""สุราษฎร์ธานี!J59"")"),1)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IFERROR(__xludf.DUMMYFUNCTION("IMPORTRANGE(""https://docs.google.com/spreadsheets/d/1IYY_tgx_IHuhSq3AJ5eI5OnqOPBNLWSHKh2a30DoXe8/edit?usp=sharing"",""สุราษฎร์ธานี!J60"")"),1)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IFERROR(__xludf.DUMMYFUNCTION("IMPORTRANGE(""https://docs.google.com/spreadsheets/d/1IYY_tgx_IHuhSq3AJ5eI5OnqOPBNLWSHKh2a30DoXe8/edit?usp=sharing"",""สุราษฎร์ธานี!J61"")"),1)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IFERROR(__xludf.DUMMYFUNCTION("IMPORTRANGE(""https://docs.google.com/spreadsheets/d/1IYY_tgx_IHuhSq3AJ5eI5OnqOPBNLWSHKh2a30DoXe8/edit?usp=sharing"",""สุราษฎร์ธานี!I62"")"),15)</f>
        <v>15</v>
      </c>
      <c r="J132" s="210">
        <f ca="1">IFERROR(__xludf.DUMMYFUNCTION("IMPORTRANGE(""https://docs.google.com/spreadsheets/d/1IYY_tgx_IHuhSq3AJ5eI5OnqOPBNLWSHKh2a30DoXe8/edit?usp=sharing"",""สุราษฎร์ธานี!J62"")"),15)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IFERROR(__xludf.DUMMYFUNCTION("IMPORTRANGE(""https://docs.google.com/spreadsheets/d/1IYY_tgx_IHuhSq3AJ5eI5OnqOPBNLWSHKh2a30DoXe8/edit?usp=sharing"",""สุราษฎร์ธานี!I63"")"),15)</f>
        <v>15</v>
      </c>
      <c r="J133" s="210">
        <f ca="1">IFERROR(__xludf.DUMMYFUNCTION("IMPORTRANGE(""https://docs.google.com/spreadsheets/d/1IYY_tgx_IHuhSq3AJ5eI5OnqOPBNLWSHKh2a30DoXe8/edit?usp=sharing"",""สุราษฎร์ธานี!J63"")"),15)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IFERROR(__xludf.DUMMYFUNCTION("IMPORTRANGE(""https://docs.google.com/spreadsheets/d/1IYY_tgx_IHuhSq3AJ5eI5OnqOPBNLWSHKh2a30DoXe8/edit?usp=sharing"",""สุราษฎร์ธานี!J64"")"),0)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IFERROR(__xludf.DUMMYFUNCTION("IMPORTRANGE(""https://docs.google.com/spreadsheets/d/1IYY_tgx_IHuhSq3AJ5eI5OnqOPBNLWSHKh2a30DoXe8/edit?usp=sharing"",""สุราษฎร์ธานี!J65"")"),0)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IFERROR(__xludf.DUMMYFUNCTION("IMPORTRANGE(""https://docs.google.com/spreadsheets/d/1IYY_tgx_IHuhSq3AJ5eI5OnqOPBNLWSHKh2a30DoXe8/edit?usp=sharing"",""สุราษฎร์ธานี!I68"")"),0)</f>
        <v>0</v>
      </c>
      <c r="J138" s="273">
        <f ca="1">IFERROR(__xludf.DUMMYFUNCTION("IMPORTRANGE(""https://docs.google.com/spreadsheets/d/1IYY_tgx_IHuhSq3AJ5eI5OnqOPBNLWSHKh2a30DoXe8/edit?usp=sharing"",""สุราษฎร์ธานี!J68"")"),0)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57000</v>
      </c>
      <c r="M140" s="156">
        <f t="shared" ca="1" si="64"/>
        <v>47625</v>
      </c>
      <c r="N140" s="156">
        <f t="shared" ca="1" si="64"/>
        <v>46260</v>
      </c>
      <c r="O140" s="155">
        <f t="shared" ref="O140:O142" ca="1" si="65">IF(L140&gt;0,N140*100/L140,0)</f>
        <v>81.15789473684211</v>
      </c>
      <c r="P140" s="155">
        <f t="shared" ref="P140:P142" ca="1" si="66">IF(M140&gt;0,N140*100/M140,0)</f>
        <v>97.133858267716533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57000</v>
      </c>
      <c r="M142" s="161">
        <f t="shared" ca="1" si="68"/>
        <v>47625</v>
      </c>
      <c r="N142" s="161">
        <f t="shared" ca="1" si="68"/>
        <v>46260</v>
      </c>
      <c r="O142" s="160">
        <f t="shared" ca="1" si="65"/>
        <v>81.15789473684211</v>
      </c>
      <c r="P142" s="160">
        <f t="shared" ca="1" si="66"/>
        <v>97.133858267716533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57000</v>
      </c>
      <c r="M144" s="173">
        <f ca="1">IFERROR(__xludf.DUMMYFUNCTION("IMPORTRANGE(""https://docs.google.com/spreadsheets/d/1Yj_ptqi66GCucihVvJfMjLAmec39IyEx_6qawtMGysU/edit?usp=sharing"",""สบก!BJ94"")"),47625)</f>
        <v>47625</v>
      </c>
      <c r="N144" s="174">
        <f ca="1">IFERROR(__xludf.DUMMYFUNCTION("IMPORTRANGE(""https://docs.google.com/spreadsheets/d/1Yj_ptqi66GCucihVvJfMjLAmec39IyEx_6qawtMGysU/edit?usp=sharing"",""สบก!BK94"")"),46260)</f>
        <v>46260</v>
      </c>
      <c r="O144" s="175">
        <f ca="1">IF(L144&gt;0,N144*100/L144,0)</f>
        <v>81.15789473684211</v>
      </c>
      <c r="P144" s="175">
        <f ca="1">IF(M144&gt;0,N144*100/M144,0)</f>
        <v>97.133858267716533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IFERROR(__xludf.DUMMYFUNCTION("IMPORTRANGE(""https://docs.google.com/spreadsheets/d/1Yj_ptqi66GCucihVvJfMjLAmec39IyEx_6qawtMGysU/edit?usp=sharing"",""สบก!BF94"")"),0)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IFERROR(__xludf.DUMMYFUNCTION("IMPORTRANGE(""https://docs.google.com/spreadsheets/d/1Yj_ptqi66GCucihVvJfMjLAmec39IyEx_6qawtMGysU/edit?usp=sharing"",""สบก!BG94"")"),57000)</f>
        <v>57000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IFERROR(__xludf.DUMMYFUNCTION("IMPORTRANGE(""https://docs.google.com/spreadsheets/d/1Yj_ptqi66GCucihVvJfMjLAmec39IyEx_6qawtMGysU/edit?usp=sharing"",""สบก!BH94"")"),0)</f>
        <v>0</v>
      </c>
      <c r="M148" s="101"/>
      <c r="N148" s="91">
        <f ca="1">IFERROR(__xludf.DUMMYFUNCTION("IMPORTRANGE(""https://docs.google.com/spreadsheets/d/1Yj_ptqi66GCucihVvJfMjLAmec39IyEx_6qawtMGysU/edit?usp=sharing"",""สบก!BL94"")"),0)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IFERROR(__xludf.DUMMYFUNCTION("IMPORTRANGE(""https://docs.google.com/spreadsheets/d/1IYY_tgx_IHuhSq3AJ5eI5OnqOPBNLWSHKh2a30DoXe8/edit?usp=sharing"",""สุราษฎร์ธานี!I74"")"),4)</f>
        <v>4</v>
      </c>
      <c r="J149" s="281">
        <f ca="1">IFERROR(__xludf.DUMMYFUNCTION("IMPORTRANGE(""https://docs.google.com/spreadsheets/d/1IYY_tgx_IHuhSq3AJ5eI5OnqOPBNLWSHKh2a30DoXe8/edit?usp=sharing"",""สุราษฎร์ธานี!J74"")"),2)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IFERROR(__xludf.DUMMYFUNCTION("IMPORTRANGE(""https://docs.google.com/spreadsheets/d/1IYY_tgx_IHuhSq3AJ5eI5OnqOPBNLWSHKh2a30DoXe8/edit?usp=sharing"",""สุราษฎร์ธานี!J79"")"),0)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IFERROR(__xludf.DUMMYFUNCTION("IMPORTRANGE(""https://docs.google.com/spreadsheets/d/1IYY_tgx_IHuhSq3AJ5eI5OnqOPBNLWSHKh2a30DoXe8/edit?usp=sharing"",""สุราษฎร์ธานี!J80"")"),1)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IFERROR(__xludf.DUMMYFUNCTION("IMPORTRANGE(""https://docs.google.com/spreadsheets/d/1IYY_tgx_IHuhSq3AJ5eI5OnqOPBNLWSHKh2a30DoXe8/edit?usp=sharing"",""สุราษฎร์ธานี!J81"")"),1)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IFERROR(__xludf.DUMMYFUNCTION("IMPORTRANGE(""https://docs.google.com/spreadsheets/d/1IYY_tgx_IHuhSq3AJ5eI5OnqOPBNLWSHKh2a30DoXe8/edit?usp=sharing"",""สุราษฎร์ธานี!J82"")"),1)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IFERROR(__xludf.DUMMYFUNCTION("IMPORTRANGE(""https://docs.google.com/spreadsheets/d/1IYY_tgx_IHuhSq3AJ5eI5OnqOPBNLWSHKh2a30DoXe8/edit?usp=sharing"",""สุราษฎร์ธานี!I83"")"),4)</f>
        <v>4</v>
      </c>
      <c r="J158" s="195">
        <f ca="1">IFERROR(__xludf.DUMMYFUNCTION("IMPORTRANGE(""https://docs.google.com/spreadsheets/d/1IYY_tgx_IHuhSq3AJ5eI5OnqOPBNLWSHKh2a30DoXe8/edit?usp=sharing"",""สุราษฎร์ธานี!J83"")"),2)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IFERROR(__xludf.DUMMYFUNCTION("IMPORTRANGE(""https://docs.google.com/spreadsheets/d/1IYY_tgx_IHuhSq3AJ5eI5OnqOPBNLWSHKh2a30DoXe8/edit?usp=sharing"",""สุราษฎร์ธานี!J84"")"),50)</f>
        <v>50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IFERROR(__xludf.DUMMYFUNCTION("IMPORTRANGE(""https://docs.google.com/spreadsheets/d/1IYY_tgx_IHuhSq3AJ5eI5OnqOPBNLWSHKh2a30DoXe8/edit?usp=sharing"",""สุราษฎร์ธานี!J85"")"),45)</f>
        <v>45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IFERROR(__xludf.DUMMYFUNCTION("IMPORTRANGE(""https://docs.google.com/spreadsheets/d/1IYY_tgx_IHuhSq3AJ5eI5OnqOPBNLWSHKh2a30DoXe8/edit?usp=sharing"",""สุราษฎร์ธานี!J86"")"),5)</f>
        <v>5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IFERROR(__xludf.DUMMYFUNCTION("IMPORTRANGE(""https://docs.google.com/spreadsheets/d/1IYY_tgx_IHuhSq3AJ5eI5OnqOPBNLWSHKh2a30DoXe8/edit?usp=sharing"",""สุราษฎร์ธานี!J87"")"),0)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IFERROR(__xludf.DUMMYFUNCTION("IMPORTRANGE(""https://docs.google.com/spreadsheets/d/1IYY_tgx_IHuhSq3AJ5eI5OnqOPBNLWSHKh2a30DoXe8/edit?usp=sharing"",""สุราษฎร์ธานี!J88"")"),0)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IFERROR(__xludf.DUMMYFUNCTION("IMPORTRANGE(""https://docs.google.com/spreadsheets/d/1IYY_tgx_IHuhSq3AJ5eI5OnqOPBNLWSHKh2a30DoXe8/edit?usp=sharing"",""สุราษฎร์ธานี!I89"")"),3)</f>
        <v>3</v>
      </c>
      <c r="J164" s="290">
        <f ca="1">IFERROR(__xludf.DUMMYFUNCTION("IMPORTRANGE(""https://docs.google.com/spreadsheets/d/1IYY_tgx_IHuhSq3AJ5eI5OnqOPBNLWSHKh2a30DoXe8/edit?usp=sharing"",""สุราษฎร์ธานี!J89"")"),3)</f>
        <v>3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IFERROR(__xludf.DUMMYFUNCTION("IMPORTRANGE(""https://docs.google.com/spreadsheets/d/1IYY_tgx_IHuhSq3AJ5eI5OnqOPBNLWSHKh2a30DoXe8/edit?usp=sharing"",""สุราษฎร์ธานี!J94"")"),0)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IFERROR(__xludf.DUMMYFUNCTION("IMPORTRANGE(""https://docs.google.com/spreadsheets/d/1IYY_tgx_IHuhSq3AJ5eI5OnqOPBNLWSHKh2a30DoXe8/edit?usp=sharing"",""สุราษฎร์ธานี!J95"")"),1)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IFERROR(__xludf.DUMMYFUNCTION("IMPORTRANGE(""https://docs.google.com/spreadsheets/d/1IYY_tgx_IHuhSq3AJ5eI5OnqOPBNLWSHKh2a30DoXe8/edit?usp=sharing"",""สุราษฎร์ธานี!J96"")"),1)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IFERROR(__xludf.DUMMYFUNCTION("IMPORTRANGE(""https://docs.google.com/spreadsheets/d/1IYY_tgx_IHuhSq3AJ5eI5OnqOPBNLWSHKh2a30DoXe8/edit?usp=sharing"",""สุราษฎร์ธานี!J97"")"),1)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IFERROR(__xludf.DUMMYFUNCTION("IMPORTRANGE(""https://docs.google.com/spreadsheets/d/1IYY_tgx_IHuhSq3AJ5eI5OnqOPBNLWSHKh2a30DoXe8/edit?usp=sharing"",""สุราษฎร์ธานี!I98"")"),3)</f>
        <v>3</v>
      </c>
      <c r="J173" s="195">
        <f ca="1">IFERROR(__xludf.DUMMYFUNCTION("IMPORTRANGE(""https://docs.google.com/spreadsheets/d/1IYY_tgx_IHuhSq3AJ5eI5OnqOPBNLWSHKh2a30DoXe8/edit?usp=sharing"",""สุราษฎร์ธานี!J98"")"),3)</f>
        <v>3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IFERROR(__xludf.DUMMYFUNCTION("IMPORTRANGE(""https://docs.google.com/spreadsheets/d/1IYY_tgx_IHuhSq3AJ5eI5OnqOPBNLWSHKh2a30DoXe8/edit?usp=sharing"",""สุราษฎร์ธานี!J99"")"),0)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IFERROR(__xludf.DUMMYFUNCTION("IMPORTRANGE(""https://docs.google.com/spreadsheets/d/1IYY_tgx_IHuhSq3AJ5eI5OnqOPBNLWSHKh2a30DoXe8/edit?usp=sharing"",""สุราษฎร์ธานี!J100"")"),0)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IFERROR(__xludf.DUMMYFUNCTION("IMPORTRANGE(""https://docs.google.com/spreadsheets/d/1IYY_tgx_IHuhSq3AJ5eI5OnqOPBNLWSHKh2a30DoXe8/edit?usp=sharing"",""สุราษฎร์ธานี!I101"")"),0)</f>
        <v>0</v>
      </c>
      <c r="J176" s="290">
        <f ca="1">IFERROR(__xludf.DUMMYFUNCTION("IMPORTRANGE(""https://docs.google.com/spreadsheets/d/1IYY_tgx_IHuhSq3AJ5eI5OnqOPBNLWSHKh2a30DoXe8/edit?usp=sharing"",""สุราษฎร์ธานี!J101"")"),0)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IFERROR(__xludf.DUMMYFUNCTION("IMPORTRANGE(""https://docs.google.com/spreadsheets/d/1IYY_tgx_IHuhSq3AJ5eI5OnqOPBNLWSHKh2a30DoXe8/edit?usp=sharing"",""สุราษฎร์ธานี!J106"")"),0)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IFERROR(__xludf.DUMMYFUNCTION("IMPORTRANGE(""https://docs.google.com/spreadsheets/d/1IYY_tgx_IHuhSq3AJ5eI5OnqOPBNLWSHKh2a30DoXe8/edit?usp=sharing"",""สุราษฎร์ธานี!J107"")"),0)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IFERROR(__xludf.DUMMYFUNCTION("IMPORTRANGE(""https://docs.google.com/spreadsheets/d/1IYY_tgx_IHuhSq3AJ5eI5OnqOPBNLWSHKh2a30DoXe8/edit?usp=sharing"",""สุราษฎร์ธานี!J108"")"),0)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IFERROR(__xludf.DUMMYFUNCTION("IMPORTRANGE(""https://docs.google.com/spreadsheets/d/1IYY_tgx_IHuhSq3AJ5eI5OnqOPBNLWSHKh2a30DoXe8/edit?usp=sharing"",""สุราษฎร์ธานี!J109"")"),0)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IFERROR(__xludf.DUMMYFUNCTION("IMPORTRANGE(""https://docs.google.com/spreadsheets/d/1IYY_tgx_IHuhSq3AJ5eI5OnqOPBNLWSHKh2a30DoXe8/edit?usp=sharing"",""สุราษฎร์ธานี!I110"")"),0)</f>
        <v>0</v>
      </c>
      <c r="J185" s="210">
        <f ca="1">IFERROR(__xludf.DUMMYFUNCTION("IMPORTRANGE(""https://docs.google.com/spreadsheets/d/1IYY_tgx_IHuhSq3AJ5eI5OnqOPBNLWSHKh2a30DoXe8/edit?usp=sharing"",""สุราษฎร์ธานี!J110"")"),0)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IFERROR(__xludf.DUMMYFUNCTION("IMPORTRANGE(""https://docs.google.com/spreadsheets/d/1IYY_tgx_IHuhSq3AJ5eI5OnqOPBNLWSHKh2a30DoXe8/edit?usp=sharing"",""สุราษฎร์ธานี!I111"")"),0)</f>
        <v>0</v>
      </c>
      <c r="J186" s="210">
        <f ca="1">IFERROR(__xludf.DUMMYFUNCTION("IMPORTRANGE(""https://docs.google.com/spreadsheets/d/1IYY_tgx_IHuhSq3AJ5eI5OnqOPBNLWSHKh2a30DoXe8/edit?usp=sharing"",""สุราษฎร์ธานี!J111"")"),0)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IFERROR(__xludf.DUMMYFUNCTION("IMPORTRANGE(""https://docs.google.com/spreadsheets/d/1IYY_tgx_IHuhSq3AJ5eI5OnqOPBNLWSHKh2a30DoXe8/edit?usp=sharing"",""สุราษฎร์ธานี!J112"")"),0)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IFERROR(__xludf.DUMMYFUNCTION("IMPORTRANGE(""https://docs.google.com/spreadsheets/d/1IYY_tgx_IHuhSq3AJ5eI5OnqOPBNLWSHKh2a30DoXe8/edit?usp=sharing"",""สุราษฎร์ธานี!J113"")"),0)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IFERROR(__xludf.DUMMYFUNCTION("IMPORTRANGE(""https://docs.google.com/spreadsheets/d/1IYY_tgx_IHuhSq3AJ5eI5OnqOPBNLWSHKh2a30DoXe8/edit?usp=sharing"",""สุราษฎร์ธานี!I114"")"),10000)</f>
        <v>10000</v>
      </c>
      <c r="J189" s="290">
        <f ca="1">IFERROR(__xludf.DUMMYFUNCTION("IMPORTRANGE(""https://docs.google.com/spreadsheets/d/1IYY_tgx_IHuhSq3AJ5eI5OnqOPBNLWSHKh2a30DoXe8/edit?usp=sharing"",""สุราษฎร์ธานี!J114"")"),0)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IFERROR(__xludf.DUMMYFUNCTION("IMPORTRANGE(""https://docs.google.com/spreadsheets/d/1IYY_tgx_IHuhSq3AJ5eI5OnqOPBNLWSHKh2a30DoXe8/edit?usp=sharing"",""สุราษฎร์ธานี!J119"")"),0)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IFERROR(__xludf.DUMMYFUNCTION("IMPORTRANGE(""https://docs.google.com/spreadsheets/d/1IYY_tgx_IHuhSq3AJ5eI5OnqOPBNLWSHKh2a30DoXe8/edit?usp=sharing"",""สุราษฎร์ธานี!J120"")"),1)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IFERROR(__xludf.DUMMYFUNCTION("IMPORTRANGE(""https://docs.google.com/spreadsheets/d/1IYY_tgx_IHuhSq3AJ5eI5OnqOPBNLWSHKh2a30DoXe8/edit?usp=sharing"",""สุราษฎร์ธานี!J121"")"),1)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IFERROR(__xludf.DUMMYFUNCTION("IMPORTRANGE(""https://docs.google.com/spreadsheets/d/1IYY_tgx_IHuhSq3AJ5eI5OnqOPBNLWSHKh2a30DoXe8/edit?usp=sharing"",""สุราษฎร์ธานี!J122"")"),1)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IFERROR(__xludf.DUMMYFUNCTION("IMPORTRANGE(""https://docs.google.com/spreadsheets/d/1IYY_tgx_IHuhSq3AJ5eI5OnqOPBNLWSHKh2a30DoXe8/edit?usp=sharing"",""สุราษฎร์ธานี!I124"")"),10000)</f>
        <v>10000</v>
      </c>
      <c r="J199" s="195">
        <f ca="1">IFERROR(__xludf.DUMMYFUNCTION("IMPORTRANGE(""https://docs.google.com/spreadsheets/d/1IYY_tgx_IHuhSq3AJ5eI5OnqOPBNLWSHKh2a30DoXe8/edit?usp=sharing"",""สุราษฎร์ธานี!J124"")"),10000)</f>
        <v>10000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IFERROR(__xludf.DUMMYFUNCTION("IMPORTRANGE(""https://docs.google.com/spreadsheets/d/1IYY_tgx_IHuhSq3AJ5eI5OnqOPBNLWSHKh2a30DoXe8/edit?usp=sharing"",""สุราษฎร์ธานี!I125"")"),10000)</f>
        <v>10000</v>
      </c>
      <c r="J200" s="195">
        <f ca="1">IFERROR(__xludf.DUMMYFUNCTION("IMPORTRANGE(""https://docs.google.com/spreadsheets/d/1IYY_tgx_IHuhSq3AJ5eI5OnqOPBNLWSHKh2a30DoXe8/edit?usp=sharing"",""สุราษฎร์ธานี!J125"")"),0)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IFERROR(__xludf.DUMMYFUNCTION("IMPORTRANGE(""https://docs.google.com/spreadsheets/d/1IYY_tgx_IHuhSq3AJ5eI5OnqOPBNLWSHKh2a30DoXe8/edit?usp=sharing"",""สุราษฎร์ธานี!I126"")"),0)</f>
        <v>0</v>
      </c>
      <c r="J201" s="195">
        <f ca="1">IFERROR(__xludf.DUMMYFUNCTION("IMPORTRANGE(""https://docs.google.com/spreadsheets/d/1IYY_tgx_IHuhSq3AJ5eI5OnqOPBNLWSHKh2a30DoXe8/edit?usp=sharing"",""สุราษฎร์ธานี!J126"")"),0)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IFERROR(__xludf.DUMMYFUNCTION("IMPORTRANGE(""https://docs.google.com/spreadsheets/d/1IYY_tgx_IHuhSq3AJ5eI5OnqOPBNLWSHKh2a30DoXe8/edit?usp=sharing"",""สุราษฎร์ธานี!J127"")"),0)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IFERROR(__xludf.DUMMYFUNCTION("IMPORTRANGE(""https://docs.google.com/spreadsheets/d/1IYY_tgx_IHuhSq3AJ5eI5OnqOPBNLWSHKh2a30DoXe8/edit?usp=sharing"",""สุราษฎร์ธานี!J128"")"),0)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IFERROR(__xludf.DUMMYFUNCTION("IMPORTRANGE(""https://docs.google.com/spreadsheets/d/1IYY_tgx_IHuhSq3AJ5eI5OnqOPBNLWSHKh2a30DoXe8/edit?usp=sharing"",""สุราษฎร์ธานี!I129"")"),0)</f>
        <v>0</v>
      </c>
      <c r="J204" s="290">
        <f ca="1">IFERROR(__xludf.DUMMYFUNCTION("IMPORTRANGE(""https://docs.google.com/spreadsheets/d/1IYY_tgx_IHuhSq3AJ5eI5OnqOPBNLWSHKh2a30DoXe8/edit?usp=sharing"",""สุราษฎร์ธานี!J129"")"),0)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IFERROR(__xludf.DUMMYFUNCTION("IMPORTRANGE(""https://docs.google.com/spreadsheets/d/1IYY_tgx_IHuhSq3AJ5eI5OnqOPBNLWSHKh2a30DoXe8/edit?usp=sharing"",""สุราษฎร์ธานี!J134"")"),0)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IFERROR(__xludf.DUMMYFUNCTION("IMPORTRANGE(""https://docs.google.com/spreadsheets/d/1IYY_tgx_IHuhSq3AJ5eI5OnqOPBNLWSHKh2a30DoXe8/edit?usp=sharing"",""สุราษฎร์ธานี!J135"")"),0)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IFERROR(__xludf.DUMMYFUNCTION("IMPORTRANGE(""https://docs.google.com/spreadsheets/d/1IYY_tgx_IHuhSq3AJ5eI5OnqOPBNLWSHKh2a30DoXe8/edit?usp=sharing"",""สุราษฎร์ธานี!J136"")"),0)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IFERROR(__xludf.DUMMYFUNCTION("IMPORTRANGE(""https://docs.google.com/spreadsheets/d/1IYY_tgx_IHuhSq3AJ5eI5OnqOPBNLWSHKh2a30DoXe8/edit?usp=sharing"",""สุราษฎร์ธานี!J137"")"),0)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IFERROR(__xludf.DUMMYFUNCTION("IMPORTRANGE(""https://docs.google.com/spreadsheets/d/1IYY_tgx_IHuhSq3AJ5eI5OnqOPBNLWSHKh2a30DoXe8/edit?usp=sharing"",""สุราษฎร์ธานี!I138"")"),0)</f>
        <v>0</v>
      </c>
      <c r="J213" s="210">
        <f ca="1">IFERROR(__xludf.DUMMYFUNCTION("IMPORTRANGE(""https://docs.google.com/spreadsheets/d/1IYY_tgx_IHuhSq3AJ5eI5OnqOPBNLWSHKh2a30DoXe8/edit?usp=sharing"",""สุราษฎร์ธานี!J138"")"),0)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IFERROR(__xludf.DUMMYFUNCTION("IMPORTRANGE(""https://docs.google.com/spreadsheets/d/1IYY_tgx_IHuhSq3AJ5eI5OnqOPBNLWSHKh2a30DoXe8/edit?usp=sharing"",""สุราษฎร์ธานี!I140"")"),0)</f>
        <v>0</v>
      </c>
      <c r="J215" s="210">
        <f ca="1">IFERROR(__xludf.DUMMYFUNCTION("IMPORTRANGE(""https://docs.google.com/spreadsheets/d/1IYY_tgx_IHuhSq3AJ5eI5OnqOPBNLWSHKh2a30DoXe8/edit?usp=sharing"",""สุราษฎร์ธานี!J140"")"),0)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IFERROR(__xludf.DUMMYFUNCTION("IMPORTRANGE(""https://docs.google.com/spreadsheets/d/1IYY_tgx_IHuhSq3AJ5eI5OnqOPBNLWSHKh2a30DoXe8/edit?usp=sharing"",""สุราษฎร์ธานี!I141"")"),0)</f>
        <v>0</v>
      </c>
      <c r="J216" s="210">
        <f ca="1">IFERROR(__xludf.DUMMYFUNCTION("IMPORTRANGE(""https://docs.google.com/spreadsheets/d/1IYY_tgx_IHuhSq3AJ5eI5OnqOPBNLWSHKh2a30DoXe8/edit?usp=sharing"",""สุราษฎร์ธานี!J141"")"),0)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IFERROR(__xludf.DUMMYFUNCTION("IMPORTRANGE(""https://docs.google.com/spreadsheets/d/1IYY_tgx_IHuhSq3AJ5eI5OnqOPBNLWSHKh2a30DoXe8/edit?usp=sharing"",""สุราษฎร์ธานี!J142"")"),0)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IFERROR(__xludf.DUMMYFUNCTION("IMPORTRANGE(""https://docs.google.com/spreadsheets/d/1IYY_tgx_IHuhSq3AJ5eI5OnqOPBNLWSHKh2a30DoXe8/edit?usp=sharing"",""สุราษฎร์ธานี!J143"")"),0)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IFERROR(__xludf.DUMMYFUNCTION("IMPORTRANGE(""https://docs.google.com/spreadsheets/d/1IYY_tgx_IHuhSq3AJ5eI5OnqOPBNLWSHKh2a30DoXe8/edit?usp=sharing"",""สุราษฎร์ธานี!I144"")"),14)</f>
        <v>14</v>
      </c>
      <c r="J219" s="273">
        <f ca="1">IFERROR(__xludf.DUMMYFUNCTION("IMPORTRANGE(""https://docs.google.com/spreadsheets/d/1IYY_tgx_IHuhSq3AJ5eI5OnqOPBNLWSHKh2a30DoXe8/edit?usp=sharing"",""สุราษฎร์ธานี!J144"")"),14)</f>
        <v>14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20210</v>
      </c>
      <c r="M220" s="156">
        <f t="shared" ca="1" si="72"/>
        <v>20210</v>
      </c>
      <c r="N220" s="156">
        <f t="shared" ca="1" si="72"/>
        <v>20210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20210</v>
      </c>
      <c r="M222" s="161">
        <f t="shared" ca="1" si="76"/>
        <v>20210</v>
      </c>
      <c r="N222" s="161">
        <f t="shared" ca="1" si="76"/>
        <v>20210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20210</v>
      </c>
      <c r="M224" s="173">
        <f ca="1">IFERROR(__xludf.DUMMYFUNCTION("IMPORTRANGE(""https://docs.google.com/spreadsheets/d/1Yj_ptqi66GCucihVvJfMjLAmec39IyEx_6qawtMGysU/edit?usp=sharing"",""สบก!BS94"")"),20210)</f>
        <v>20210</v>
      </c>
      <c r="N224" s="174">
        <f ca="1">IFERROR(__xludf.DUMMYFUNCTION("IMPORTRANGE(""https://docs.google.com/spreadsheets/d/1Yj_ptqi66GCucihVvJfMjLAmec39IyEx_6qawtMGysU/edit?usp=sharing"",""สบก!BT94"")"),20210)</f>
        <v>20210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IFERROR(__xludf.DUMMYFUNCTION("IMPORTRANGE(""https://docs.google.com/spreadsheets/d/1Yj_ptqi66GCucihVvJfMjLAmec39IyEx_6qawtMGysU/edit?usp=sharing"",""สบก!BO94"")"),0)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IFERROR(__xludf.DUMMYFUNCTION("IMPORTRANGE(""https://docs.google.com/spreadsheets/d/1Yj_ptqi66GCucihVvJfMjLAmec39IyEx_6qawtMGysU/edit?usp=sharing"",""สบก!BP94"")"),20210)</f>
        <v>20210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IFERROR(__xludf.DUMMYFUNCTION("IMPORTRANGE(""https://docs.google.com/spreadsheets/d/1Yj_ptqi66GCucihVvJfMjLAmec39IyEx_6qawtMGysU/edit?usp=sharing"",""สบก!BQ94"")"),0)</f>
        <v>0</v>
      </c>
      <c r="M228" s="101"/>
      <c r="N228" s="91">
        <f ca="1">IFERROR(__xludf.DUMMYFUNCTION("IMPORTRANGE(""https://docs.google.com/spreadsheets/d/1Yj_ptqi66GCucihVvJfMjLAmec39IyEx_6qawtMGysU/edit?usp=sharing"",""สบก!BU94"")"),0)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IFERROR(__xludf.DUMMYFUNCTION("IMPORTRANGE(""https://docs.google.com/spreadsheets/d/1IYY_tgx_IHuhSq3AJ5eI5OnqOPBNLWSHKh2a30DoXe8/edit?usp=sharing"",""สุราษฎร์ธานี!I149"")"),14)</f>
        <v>14</v>
      </c>
      <c r="J229" s="273">
        <f ca="1">IFERROR(__xludf.DUMMYFUNCTION("IMPORTRANGE(""https://docs.google.com/spreadsheets/d/1IYY_tgx_IHuhSq3AJ5eI5OnqOPBNLWSHKh2a30DoXe8/edit?usp=sharing"",""สุราษฎร์ธานี!J149"")"),14)</f>
        <v>14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IFERROR(__xludf.DUMMYFUNCTION("IMPORTRANGE(""https://docs.google.com/spreadsheets/d/1IYY_tgx_IHuhSq3AJ5eI5OnqOPBNLWSHKh2a30DoXe8/edit?usp=sharing"",""สุราษฎร์ธานี!J151"")"),0)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IFERROR(__xludf.DUMMYFUNCTION("IMPORTRANGE(""https://docs.google.com/spreadsheets/d/1IYY_tgx_IHuhSq3AJ5eI5OnqOPBNLWSHKh2a30DoXe8/edit?usp=sharing"",""สุราษฎร์ธานี!J152"")"),1)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IFERROR(__xludf.DUMMYFUNCTION("IMPORTRANGE(""https://docs.google.com/spreadsheets/d/1IYY_tgx_IHuhSq3AJ5eI5OnqOPBNLWSHKh2a30DoXe8/edit?usp=sharing"",""สุราษฎร์ธานี!J153"")"),1)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IFERROR(__xludf.DUMMYFUNCTION("IMPORTRANGE(""https://docs.google.com/spreadsheets/d/1IYY_tgx_IHuhSq3AJ5eI5OnqOPBNLWSHKh2a30DoXe8/edit?usp=sharing"",""สุราษฎร์ธานี!J154"")"),1)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IFERROR(__xludf.DUMMYFUNCTION("IMPORTRANGE(""https://docs.google.com/spreadsheets/d/1IYY_tgx_IHuhSq3AJ5eI5OnqOPBNLWSHKh2a30DoXe8/edit?usp=sharing"",""สุราษฎร์ธานี!I155"")"),14)</f>
        <v>14</v>
      </c>
      <c r="J235" s="195">
        <f ca="1">IFERROR(__xludf.DUMMYFUNCTION("IMPORTRANGE(""https://docs.google.com/spreadsheets/d/1IYY_tgx_IHuhSq3AJ5eI5OnqOPBNLWSHKh2a30DoXe8/edit?usp=sharing"",""สุราษฎร์ธานี!J155"")"),14)</f>
        <v>14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IFERROR(__xludf.DUMMYFUNCTION("IMPORTRANGE(""https://docs.google.com/spreadsheets/d/1IYY_tgx_IHuhSq3AJ5eI5OnqOPBNLWSHKh2a30DoXe8/edit?usp=sharing"",""สุราษฎร์ธานี!J156"")"),0)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IFERROR(__xludf.DUMMYFUNCTION("IMPORTRANGE(""https://docs.google.com/spreadsheets/d/1IYY_tgx_IHuhSq3AJ5eI5OnqOPBNLWSHKh2a30DoXe8/edit?usp=sharing"",""สุราษฎร์ธานี!J157"")"),0)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IFERROR(__xludf.DUMMYFUNCTION("IMPORTRANGE(""https://docs.google.com/spreadsheets/d/1IYY_tgx_IHuhSq3AJ5eI5OnqOPBNLWSHKh2a30DoXe8/edit?usp=sharing"",""สุราษฎร์ธานี!I158"")"),0)</f>
        <v>0</v>
      </c>
      <c r="J238" s="273">
        <f ca="1">IFERROR(__xludf.DUMMYFUNCTION("IMPORTRANGE(""https://docs.google.com/spreadsheets/d/1IYY_tgx_IHuhSq3AJ5eI5OnqOPBNLWSHKh2a30DoXe8/edit?usp=sharing"",""สุราษฎร์ธานี!J158"")"),0)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IFERROR(__xludf.DUMMYFUNCTION("IMPORTRANGE(""https://docs.google.com/spreadsheets/d/1IYY_tgx_IHuhSq3AJ5eI5OnqOPBNLWSHKh2a30DoXe8/edit?usp=sharing"",""สุราษฎร์ธานี!J159"")"),"")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IFERROR(__xludf.DUMMYFUNCTION("IMPORTRANGE(""https://docs.google.com/spreadsheets/d/1IYY_tgx_IHuhSq3AJ5eI5OnqOPBNLWSHKh2a30DoXe8/edit?usp=sharing"",""สุราษฎร์ธานี!J161"")"),0)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IFERROR(__xludf.DUMMYFUNCTION("IMPORTRANGE(""https://docs.google.com/spreadsheets/d/1IYY_tgx_IHuhSq3AJ5eI5OnqOPBNLWSHKh2a30DoXe8/edit?usp=sharing"",""สุราษฎร์ธานี!J162"")"),0)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IFERROR(__xludf.DUMMYFUNCTION("IMPORTRANGE(""https://docs.google.com/spreadsheets/d/1IYY_tgx_IHuhSq3AJ5eI5OnqOPBNLWSHKh2a30DoXe8/edit?usp=sharing"",""สุราษฎร์ธานี!J163"")"),0)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IFERROR(__xludf.DUMMYFUNCTION("IMPORTRANGE(""https://docs.google.com/spreadsheets/d/1IYY_tgx_IHuhSq3AJ5eI5OnqOPBNLWSHKh2a30DoXe8/edit?usp=sharing"",""สุราษฎร์ธานี!I164"")"),0)</f>
        <v>0</v>
      </c>
      <c r="J244" s="194">
        <f ca="1">IFERROR(__xludf.DUMMYFUNCTION("IMPORTRANGE(""https://docs.google.com/spreadsheets/d/1IYY_tgx_IHuhSq3AJ5eI5OnqOPBNLWSHKh2a30DoXe8/edit?usp=sharing"",""สุราษฎร์ธานี!J164"")"),0)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IFERROR(__xludf.DUMMYFUNCTION("IMPORTRANGE(""https://docs.google.com/spreadsheets/d/1IYY_tgx_IHuhSq3AJ5eI5OnqOPBNLWSHKh2a30DoXe8/edit?usp=sharing"",""สุราษฎร์ธานี!J165"")"),0)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IFERROR(__xludf.DUMMYFUNCTION("IMPORTRANGE(""https://docs.google.com/spreadsheets/d/1IYY_tgx_IHuhSq3AJ5eI5OnqOPBNLWSHKh2a30DoXe8/edit?usp=sharing"",""สุราษฎร์ธานี!J166"")"),0)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IFERROR(__xludf.DUMMYFUNCTION("IMPORTRANGE(""https://docs.google.com/spreadsheets/d/1IYY_tgx_IHuhSq3AJ5eI5OnqOPBNLWSHKh2a30DoXe8/edit?usp=sharing"",""สุราษฎร์ธานี!I169"")"),25)</f>
        <v>25</v>
      </c>
      <c r="J249" s="322">
        <f ca="1">IFERROR(__xludf.DUMMYFUNCTION("IMPORTRANGE(""https://docs.google.com/spreadsheets/d/1IYY_tgx_IHuhSq3AJ5eI5OnqOPBNLWSHKh2a30DoXe8/edit?usp=sharing"",""สุราษฎร์ธานี!J169"")"),25)</f>
        <v>25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89000</v>
      </c>
      <c r="M250" s="156">
        <f t="shared" ca="1" si="77"/>
        <v>47500</v>
      </c>
      <c r="N250" s="156">
        <f t="shared" ca="1" si="77"/>
        <v>42070</v>
      </c>
      <c r="O250" s="155">
        <f t="shared" ref="O250:O252" ca="1" si="78">IF(L250&gt;0,N250*100/L250,0)</f>
        <v>47.269662921348313</v>
      </c>
      <c r="P250" s="155">
        <f t="shared" ref="P250:P252" ca="1" si="79">IF(M250&gt;0,N250*100/M250,0)</f>
        <v>88.568421052631578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89000</v>
      </c>
      <c r="M252" s="161">
        <f t="shared" ca="1" si="81"/>
        <v>47500</v>
      </c>
      <c r="N252" s="161">
        <f t="shared" ca="1" si="81"/>
        <v>42070</v>
      </c>
      <c r="O252" s="160">
        <f t="shared" ca="1" si="78"/>
        <v>47.269662921348313</v>
      </c>
      <c r="P252" s="160">
        <f t="shared" ca="1" si="79"/>
        <v>88.568421052631578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89000</v>
      </c>
      <c r="M254" s="173">
        <f ca="1">IFERROR(__xludf.DUMMYFUNCTION("IMPORTRANGE(""https://docs.google.com/spreadsheets/d/1Yj_ptqi66GCucihVvJfMjLAmec39IyEx_6qawtMGysU/edit?usp=sharing"",""สบก!CB94"")"),47500)</f>
        <v>47500</v>
      </c>
      <c r="N254" s="174">
        <f ca="1">IFERROR(__xludf.DUMMYFUNCTION("IMPORTRANGE(""https://docs.google.com/spreadsheets/d/1Yj_ptqi66GCucihVvJfMjLAmec39IyEx_6qawtMGysU/edit?usp=sharing"",""สบก!CC94"")"),42070)</f>
        <v>42070</v>
      </c>
      <c r="O254" s="175">
        <f ca="1">IF(L254&gt;0,N254*100/L254,0)</f>
        <v>47.269662921348313</v>
      </c>
      <c r="P254" s="175">
        <f ca="1">IF(M254&gt;0,N254*100/M254,0)</f>
        <v>88.568421052631578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IFERROR(__xludf.DUMMYFUNCTION("IMPORTRANGE(""https://docs.google.com/spreadsheets/d/1Yj_ptqi66GCucihVvJfMjLAmec39IyEx_6qawtMGysU/edit?usp=sharing"",""สบก!BX94"")"),0)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IFERROR(__xludf.DUMMYFUNCTION("IMPORTRANGE(""https://docs.google.com/spreadsheets/d/1Yj_ptqi66GCucihVvJfMjLAmec39IyEx_6qawtMGysU/edit?usp=sharing"",""สบก!BY94"")"),89000)</f>
        <v>89000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IFERROR(__xludf.DUMMYFUNCTION("IMPORTRANGE(""https://docs.google.com/spreadsheets/d/1Yj_ptqi66GCucihVvJfMjLAmec39IyEx_6qawtMGysU/edit?usp=sharing"",""สบก!BZ94"")"),0)</f>
        <v>0</v>
      </c>
      <c r="M258" s="101"/>
      <c r="N258" s="91">
        <f ca="1">IFERROR(__xludf.DUMMYFUNCTION("IMPORTRANGE(""https://docs.google.com/spreadsheets/d/1Yj_ptqi66GCucihVvJfMjLAmec39IyEx_6qawtMGysU/edit?usp=sharing"",""สบก!CD94"")"),0)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IFERROR(__xludf.DUMMYFUNCTION("IMPORTRANGE(""https://docs.google.com/spreadsheets/d/1IYY_tgx_IHuhSq3AJ5eI5OnqOPBNLWSHKh2a30DoXe8/edit?usp=sharing"",""สุราษฎร์ธานี!J175"")"),0)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IFERROR(__xludf.DUMMYFUNCTION("IMPORTRANGE(""https://docs.google.com/spreadsheets/d/1IYY_tgx_IHuhSq3AJ5eI5OnqOPBNLWSHKh2a30DoXe8/edit?usp=sharing"",""สุราษฎร์ธานี!J176"")"),1)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IFERROR(__xludf.DUMMYFUNCTION("IMPORTRANGE(""https://docs.google.com/spreadsheets/d/1IYY_tgx_IHuhSq3AJ5eI5OnqOPBNLWSHKh2a30DoXe8/edit?usp=sharing"",""สุราษฎร์ธานี!J177"")"),1)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IFERROR(__xludf.DUMMYFUNCTION("IMPORTRANGE(""https://docs.google.com/spreadsheets/d/1IYY_tgx_IHuhSq3AJ5eI5OnqOPBNLWSHKh2a30DoXe8/edit?usp=sharing"",""สุราษฎร์ธานี!J178"")"),1)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IFERROR(__xludf.DUMMYFUNCTION("IMPORTRANGE(""https://docs.google.com/spreadsheets/d/1IYY_tgx_IHuhSq3AJ5eI5OnqOPBNLWSHKh2a30DoXe8/edit?usp=sharing"",""สุราษฎร์ธานี!I179"")"),1)</f>
        <v>1</v>
      </c>
      <c r="J264" s="195">
        <f ca="1">IFERROR(__xludf.DUMMYFUNCTION("IMPORTRANGE(""https://docs.google.com/spreadsheets/d/1IYY_tgx_IHuhSq3AJ5eI5OnqOPBNLWSHKh2a30DoXe8/edit?usp=sharing"",""สุราษฎร์ธานี!J179"")"),1)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IFERROR(__xludf.DUMMYFUNCTION("IMPORTRANGE(""https://docs.google.com/spreadsheets/d/1IYY_tgx_IHuhSq3AJ5eI5OnqOPBNLWSHKh2a30DoXe8/edit?usp=sharing"",""สุราษฎร์ธานี!I180"")"),25)</f>
        <v>25</v>
      </c>
      <c r="J265" s="195">
        <f ca="1">IFERROR(__xludf.DUMMYFUNCTION("IMPORTRANGE(""https://docs.google.com/spreadsheets/d/1IYY_tgx_IHuhSq3AJ5eI5OnqOPBNLWSHKh2a30DoXe8/edit?usp=sharing"",""สุราษฎร์ธานี!J180"")"),25)</f>
        <v>25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IFERROR(__xludf.DUMMYFUNCTION("IMPORTRANGE(""https://docs.google.com/spreadsheets/d/1IYY_tgx_IHuhSq3AJ5eI5OnqOPBNLWSHKh2a30DoXe8/edit?usp=sharing"",""สุราษฎร์ธานี!I181"")"),25)</f>
        <v>25</v>
      </c>
      <c r="J266" s="195">
        <f ca="1">IFERROR(__xludf.DUMMYFUNCTION("IMPORTRANGE(""https://docs.google.com/spreadsheets/d/1IYY_tgx_IHuhSq3AJ5eI5OnqOPBNLWSHKh2a30DoXe8/edit?usp=sharing"",""สุราษฎร์ธานี!J181"")"),0)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IFERROR(__xludf.DUMMYFUNCTION("IMPORTRANGE(""https://docs.google.com/spreadsheets/d/1IYY_tgx_IHuhSq3AJ5eI5OnqOPBNLWSHKh2a30DoXe8/edit?usp=sharing"",""สุราษฎร์ธานี!I182"")"),1)</f>
        <v>1</v>
      </c>
      <c r="J267" s="195">
        <f ca="1">IFERROR(__xludf.DUMMYFUNCTION("IMPORTRANGE(""https://docs.google.com/spreadsheets/d/1IYY_tgx_IHuhSq3AJ5eI5OnqOPBNLWSHKh2a30DoXe8/edit?usp=sharing"",""สุราษฎร์ธานี!J182"")"),0)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IFERROR(__xludf.DUMMYFUNCTION("IMPORTRANGE(""https://docs.google.com/spreadsheets/d/1IYY_tgx_IHuhSq3AJ5eI5OnqOPBNLWSHKh2a30DoXe8/edit?usp=sharing"",""สุราษฎร์ธานี!J183"")"),0)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IFERROR(__xludf.DUMMYFUNCTION("IMPORTRANGE(""https://docs.google.com/spreadsheets/d/1IYY_tgx_IHuhSq3AJ5eI5OnqOPBNLWSHKh2a30DoXe8/edit?usp=sharing"",""สุราษฎร์ธานี!J184"")"),0)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IFERROR(__xludf.DUMMYFUNCTION("IMPORTRANGE(""https://docs.google.com/spreadsheets/d/1IYY_tgx_IHuhSq3AJ5eI5OnqOPBNLWSHKh2a30DoXe8/edit?usp=sharing"",""สุราษฎร์ธานี!I185"")"),20)</f>
        <v>20</v>
      </c>
      <c r="J270" s="322">
        <f ca="1">IFERROR(__xludf.DUMMYFUNCTION("IMPORTRANGE(""https://docs.google.com/spreadsheets/d/1IYY_tgx_IHuhSq3AJ5eI5OnqOPBNLWSHKh2a30DoXe8/edit?usp=sharing"",""สุราษฎร์ธานี!J185"")"),20)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447600</v>
      </c>
      <c r="M271" s="156">
        <f t="shared" ca="1" si="83"/>
        <v>359600</v>
      </c>
      <c r="N271" s="156">
        <f t="shared" ca="1" si="83"/>
        <v>186390</v>
      </c>
      <c r="O271" s="155">
        <f t="shared" ref="O271:O273" ca="1" si="84">IF(L271&gt;0,N271*100/L271,0)</f>
        <v>41.642091152815013</v>
      </c>
      <c r="P271" s="155">
        <f t="shared" ref="P271:P273" ca="1" si="85">IF(M271&gt;0,N271*100/M271,0)</f>
        <v>51.832591768631815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447600</v>
      </c>
      <c r="M273" s="161">
        <f t="shared" ca="1" si="87"/>
        <v>359600</v>
      </c>
      <c r="N273" s="161">
        <f t="shared" ca="1" si="87"/>
        <v>186390</v>
      </c>
      <c r="O273" s="160">
        <f t="shared" ca="1" si="84"/>
        <v>41.642091152815013</v>
      </c>
      <c r="P273" s="160">
        <f t="shared" ca="1" si="85"/>
        <v>51.832591768631815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447600</v>
      </c>
      <c r="M275" s="173">
        <f ca="1">IFERROR(__xludf.DUMMYFUNCTION("IMPORTRANGE(""https://docs.google.com/spreadsheets/d/1Yj_ptqi66GCucihVvJfMjLAmec39IyEx_6qawtMGysU/edit?usp=sharing"",""สบก!CK94"")"),359600)</f>
        <v>359600</v>
      </c>
      <c r="N275" s="174">
        <f ca="1">IFERROR(__xludf.DUMMYFUNCTION("IMPORTRANGE(""https://docs.google.com/spreadsheets/d/1Yj_ptqi66GCucihVvJfMjLAmec39IyEx_6qawtMGysU/edit?usp=sharing"",""สบก!CL94"")"),186390)</f>
        <v>186390</v>
      </c>
      <c r="O275" s="175">
        <f ca="1">IF(L275&gt;0,N275*100/L275,0)</f>
        <v>41.642091152815013</v>
      </c>
      <c r="P275" s="175">
        <f ca="1">IF(M275&gt;0,N275*100/M275,0)</f>
        <v>51.832591768631815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IFERROR(__xludf.DUMMYFUNCTION("IMPORTRANGE(""https://docs.google.com/spreadsheets/d/1Yj_ptqi66GCucihVvJfMjLAmec39IyEx_6qawtMGysU/edit?usp=sharing"",""สบก!CG94"")"),264000)</f>
        <v>264000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IFERROR(__xludf.DUMMYFUNCTION("IMPORTRANGE(""https://docs.google.com/spreadsheets/d/1Yj_ptqi66GCucihVvJfMjLAmec39IyEx_6qawtMGysU/edit?usp=sharing"",""สบก!CH94"")"),183600)</f>
        <v>183600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IFERROR(__xludf.DUMMYFUNCTION("IMPORTRANGE(""https://docs.google.com/spreadsheets/d/1Yj_ptqi66GCucihVvJfMjLAmec39IyEx_6qawtMGysU/edit?usp=sharing"",""สบก!CI94"")"),0)</f>
        <v>0</v>
      </c>
      <c r="M279" s="101"/>
      <c r="N279" s="91">
        <f ca="1">IFERROR(__xludf.DUMMYFUNCTION("IMPORTRANGE(""https://docs.google.com/spreadsheets/d/1Yj_ptqi66GCucihVvJfMjLAmec39IyEx_6qawtMGysU/edit?usp=sharing"",""สบก!CM94"")"),0)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IFERROR(__xludf.DUMMYFUNCTION("IMPORTRANGE(""https://docs.google.com/spreadsheets/d/1IYY_tgx_IHuhSq3AJ5eI5OnqOPBNLWSHKh2a30DoXe8/edit?usp=sharing"",""สุราษฎร์ธานี!J191"")"),0)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IFERROR(__xludf.DUMMYFUNCTION("IMPORTRANGE(""https://docs.google.com/spreadsheets/d/1IYY_tgx_IHuhSq3AJ5eI5OnqOPBNLWSHKh2a30DoXe8/edit?usp=sharing"",""สุราษฎร์ธานี!J192"")"),1)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IFERROR(__xludf.DUMMYFUNCTION("IMPORTRANGE(""https://docs.google.com/spreadsheets/d/1IYY_tgx_IHuhSq3AJ5eI5OnqOPBNLWSHKh2a30DoXe8/edit?usp=sharing"",""สุราษฎร์ธานี!J193"")"),1)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IFERROR(__xludf.DUMMYFUNCTION("IMPORTRANGE(""https://docs.google.com/spreadsheets/d/1IYY_tgx_IHuhSq3AJ5eI5OnqOPBNLWSHKh2a30DoXe8/edit?usp=sharing"",""สุราษฎร์ธานี!J194"")"),1)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IFERROR(__xludf.DUMMYFUNCTION("IMPORTRANGE(""https://docs.google.com/spreadsheets/d/1IYY_tgx_IHuhSq3AJ5eI5OnqOPBNLWSHKh2a30DoXe8/edit?usp=sharing"",""สุราษฎร์ธานี!I195"")"),20)</f>
        <v>20</v>
      </c>
      <c r="J285" s="195">
        <f ca="1">IFERROR(__xludf.DUMMYFUNCTION("IMPORTRANGE(""https://docs.google.com/spreadsheets/d/1IYY_tgx_IHuhSq3AJ5eI5OnqOPBNLWSHKh2a30DoXe8/edit?usp=sharing"",""สุราษฎร์ธานี!J195"")"),20)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IFERROR(__xludf.DUMMYFUNCTION("IMPORTRANGE(""https://docs.google.com/spreadsheets/d/1IYY_tgx_IHuhSq3AJ5eI5OnqOPBNLWSHKh2a30DoXe8/edit?usp=sharing"",""สุราษฎร์ธานี!J196"")"),0)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IFERROR(__xludf.DUMMYFUNCTION("IMPORTRANGE(""https://docs.google.com/spreadsheets/d/1IYY_tgx_IHuhSq3AJ5eI5OnqOPBNLWSHKh2a30DoXe8/edit?usp=sharing"",""สุราษฎร์ธานี!J197"")"),0)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IFERROR(__xludf.DUMMYFUNCTION("IMPORTRANGE(""https://docs.google.com/spreadsheets/d/1IYY_tgx_IHuhSq3AJ5eI5OnqOPBNLWSHKh2a30DoXe8/edit?usp=sharing"",""สุราษฎร์ธานี!I199"")"),15)</f>
        <v>15</v>
      </c>
      <c r="J289" s="322">
        <f ca="1">IFERROR(__xludf.DUMMYFUNCTION("IMPORTRANGE(""https://docs.google.com/spreadsheets/d/1IYY_tgx_IHuhSq3AJ5eI5OnqOPBNLWSHKh2a30DoXe8/edit?usp=sharing"",""สุราษฎร์ธานี!J199"")"),15)</f>
        <v>15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84260</v>
      </c>
      <c r="M290" s="156">
        <f t="shared" ca="1" si="88"/>
        <v>84260</v>
      </c>
      <c r="N290" s="156">
        <f t="shared" ca="1" si="88"/>
        <v>43170</v>
      </c>
      <c r="O290" s="155">
        <f t="shared" ref="O290:O292" ca="1" si="89">IF(L290&gt;0,N290*100/L290,0)</f>
        <v>51.234274863517683</v>
      </c>
      <c r="P290" s="155">
        <f t="shared" ref="P290:P292" ca="1" si="90">IF(M290&gt;0,N290*100/M290,0)</f>
        <v>51.234274863517683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84260</v>
      </c>
      <c r="M292" s="161">
        <f t="shared" ca="1" si="92"/>
        <v>84260</v>
      </c>
      <c r="N292" s="161">
        <f t="shared" ca="1" si="92"/>
        <v>43170</v>
      </c>
      <c r="O292" s="160">
        <f t="shared" ca="1" si="89"/>
        <v>51.234274863517683</v>
      </c>
      <c r="P292" s="160">
        <f t="shared" ca="1" si="90"/>
        <v>51.234274863517683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72260</v>
      </c>
      <c r="M294" s="173">
        <f ca="1">IFERROR(__xludf.DUMMYFUNCTION("IMPORTRANGE(""https://docs.google.com/spreadsheets/d/1Yj_ptqi66GCucihVvJfMjLAmec39IyEx_6qawtMGysU/edit?usp=sharing"",""สบก!CT94"")"),72260)</f>
        <v>72260</v>
      </c>
      <c r="N294" s="174">
        <f ca="1">IFERROR(__xludf.DUMMYFUNCTION("IMPORTRANGE(""https://docs.google.com/spreadsheets/d/1Yj_ptqi66GCucihVvJfMjLAmec39IyEx_6qawtMGysU/edit?usp=sharing"",""สบก!CU94"")"),31170)</f>
        <v>31170</v>
      </c>
      <c r="O294" s="175">
        <f ca="1">IF(L294&gt;0,N294*100/L294,0)</f>
        <v>43.135898145585386</v>
      </c>
      <c r="P294" s="175">
        <f ca="1">IF(M294&gt;0,N294*100/M294,0)</f>
        <v>43.135898145585386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IFERROR(__xludf.DUMMYFUNCTION("IMPORTRANGE(""https://docs.google.com/spreadsheets/d/1Yj_ptqi66GCucihVvJfMjLAmec39IyEx_6qawtMGysU/edit?usp=sharing"",""สบก!CP94"")"),0)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IFERROR(__xludf.DUMMYFUNCTION("IMPORTRANGE(""https://docs.google.com/spreadsheets/d/1Yj_ptqi66GCucihVvJfMjLAmec39IyEx_6qawtMGysU/edit?usp=sharing"",""สบก!CQ94"")"),72260)</f>
        <v>72260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IFERROR(__xludf.DUMMYFUNCTION("IMPORTRANGE(""https://docs.google.com/spreadsheets/d/1Yj_ptqi66GCucihVvJfMjLAmec39IyEx_6qawtMGysU/edit?usp=sharing"",""สบก!CR94"")"),12000)</f>
        <v>12000</v>
      </c>
      <c r="M298" s="101">
        <f ca="1">L298</f>
        <v>12000</v>
      </c>
      <c r="N298" s="91">
        <f ca="1">IFERROR(__xludf.DUMMYFUNCTION("IMPORTRANGE(""https://docs.google.com/spreadsheets/d/1Yj_ptqi66GCucihVvJfMjLAmec39IyEx_6qawtMGysU/edit?usp=sharing"",""สบก!CV94"")"),12000)</f>
        <v>12000</v>
      </c>
      <c r="O298" s="101">
        <f ca="1">IF(L298&gt;0,N298*100/L298,0)</f>
        <v>100</v>
      </c>
      <c r="P298" s="101">
        <f ca="1">IF(M298&gt;0,N298*100/M298,0)</f>
        <v>100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IFERROR(__xludf.DUMMYFUNCTION("IMPORTRANGE(""https://docs.google.com/spreadsheets/d/1IYY_tgx_IHuhSq3AJ5eI5OnqOPBNLWSHKh2a30DoXe8/edit?usp=sharing"",""สุราษฎร์ธานี!J205"")"),0)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IFERROR(__xludf.DUMMYFUNCTION("IMPORTRANGE(""https://docs.google.com/spreadsheets/d/1IYY_tgx_IHuhSq3AJ5eI5OnqOPBNLWSHKh2a30DoXe8/edit?usp=sharing"",""สุราษฎร์ธานี!J206"")"),1)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IFERROR(__xludf.DUMMYFUNCTION("IMPORTRANGE(""https://docs.google.com/spreadsheets/d/1IYY_tgx_IHuhSq3AJ5eI5OnqOPBNLWSHKh2a30DoXe8/edit?usp=sharing"",""สุราษฎร์ธานี!J207"")"),1)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IFERROR(__xludf.DUMMYFUNCTION("IMPORTRANGE(""https://docs.google.com/spreadsheets/d/1IYY_tgx_IHuhSq3AJ5eI5OnqOPBNLWSHKh2a30DoXe8/edit?usp=sharing"",""สุราษฎร์ธานี!J208"")"),1)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IFERROR(__xludf.DUMMYFUNCTION("IMPORTRANGE(""https://docs.google.com/spreadsheets/d/1IYY_tgx_IHuhSq3AJ5eI5OnqOPBNLWSHKh2a30DoXe8/edit?usp=sharing"",""สุราษฎร์ธานี!I209"")"),15)</f>
        <v>15</v>
      </c>
      <c r="J304" s="210">
        <f ca="1">IFERROR(__xludf.DUMMYFUNCTION("IMPORTRANGE(""https://docs.google.com/spreadsheets/d/1IYY_tgx_IHuhSq3AJ5eI5OnqOPBNLWSHKh2a30DoXe8/edit?usp=sharing"",""สุราษฎร์ธานี!J209"")"),15)</f>
        <v>15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IFERROR(__xludf.DUMMYFUNCTION("IMPORTRANGE(""https://docs.google.com/spreadsheets/d/1IYY_tgx_IHuhSq3AJ5eI5OnqOPBNLWSHKh2a30DoXe8/edit?usp=sharing"",""สุราษฎร์ธานี!I211"")"),15)</f>
        <v>15</v>
      </c>
      <c r="J306" s="210">
        <f ca="1">IFERROR(__xludf.DUMMYFUNCTION("IMPORTRANGE(""https://docs.google.com/spreadsheets/d/1IYY_tgx_IHuhSq3AJ5eI5OnqOPBNLWSHKh2a30DoXe8/edit?usp=sharing"",""สุราษฎร์ธานี!J211"")"),0)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IFERROR(__xludf.DUMMYFUNCTION("IMPORTRANGE(""https://docs.google.com/spreadsheets/d/1IYY_tgx_IHuhSq3AJ5eI5OnqOPBNLWSHKh2a30DoXe8/edit?usp=sharing"",""สุราษฎร์ธานี!J212"")"),0)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IFERROR(__xludf.DUMMYFUNCTION("IMPORTRANGE(""https://docs.google.com/spreadsheets/d/1IYY_tgx_IHuhSq3AJ5eI5OnqOPBNLWSHKh2a30DoXe8/edit?usp=sharing"",""สุราษฎร์ธานี!J213"")"),0)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IFERROR(__xludf.DUMMYFUNCTION("IMPORTRANGE(""https://docs.google.com/spreadsheets/d/1IYY_tgx_IHuhSq3AJ5eI5OnqOPBNLWSHKh2a30DoXe8/edit?usp=sharing"",""สุราษฎร์ธานี!I214"")"),1)</f>
        <v>1</v>
      </c>
      <c r="J309" s="339">
        <f ca="1">IFERROR(__xludf.DUMMYFUNCTION("IMPORTRANGE(""https://docs.google.com/spreadsheets/d/1IYY_tgx_IHuhSq3AJ5eI5OnqOPBNLWSHKh2a30DoXe8/edit?usp=sharing"",""สุราษฎร์ธานี!J214"")"),1)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278600</v>
      </c>
      <c r="M310" s="156">
        <f t="shared" ca="1" si="93"/>
        <v>209000</v>
      </c>
      <c r="N310" s="156">
        <f t="shared" ca="1" si="93"/>
        <v>131557.4</v>
      </c>
      <c r="O310" s="155">
        <f t="shared" ref="O310:O312" ca="1" si="94">IF(L310&gt;0,N310*100/L310,0)</f>
        <v>47.220890165111271</v>
      </c>
      <c r="P310" s="155">
        <f t="shared" ref="P310:P312" ca="1" si="95">IF(M310&gt;0,N310*100/M310,0)</f>
        <v>62.946124401913877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278600</v>
      </c>
      <c r="M312" s="161">
        <f t="shared" ca="1" si="97"/>
        <v>209000</v>
      </c>
      <c r="N312" s="161">
        <f t="shared" ca="1" si="97"/>
        <v>131557.4</v>
      </c>
      <c r="O312" s="160">
        <f t="shared" ca="1" si="94"/>
        <v>47.220890165111271</v>
      </c>
      <c r="P312" s="160">
        <f t="shared" ca="1" si="95"/>
        <v>62.946124401913877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278600</v>
      </c>
      <c r="M314" s="173">
        <f ca="1">IFERROR(__xludf.DUMMYFUNCTION("IMPORTRANGE(""https://docs.google.com/spreadsheets/d/1Yj_ptqi66GCucihVvJfMjLAmec39IyEx_6qawtMGysU/edit?usp=sharing"",""สบก!DC94"")"),209000)</f>
        <v>209000</v>
      </c>
      <c r="N314" s="174">
        <f ca="1">IFERROR(__xludf.DUMMYFUNCTION("IMPORTRANGE(""https://docs.google.com/spreadsheets/d/1Yj_ptqi66GCucihVvJfMjLAmec39IyEx_6qawtMGysU/edit?usp=sharing"",""สบก!DD94"")"),131557.4)</f>
        <v>131557.4</v>
      </c>
      <c r="O314" s="175">
        <f ca="1">IF(L314&gt;0,N314*100/L314,0)</f>
        <v>47.220890165111271</v>
      </c>
      <c r="P314" s="175">
        <f ca="1">IF(M314&gt;0,N314*100/M314,0)</f>
        <v>62.946124401913877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IFERROR(__xludf.DUMMYFUNCTION("IMPORTRANGE(""https://docs.google.com/spreadsheets/d/1Yj_ptqi66GCucihVvJfMjLAmec39IyEx_6qawtMGysU/edit?usp=sharing"",""สบก!CY94"")"),0)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IFERROR(__xludf.DUMMYFUNCTION("IMPORTRANGE(""https://docs.google.com/spreadsheets/d/1Yj_ptqi66GCucihVvJfMjLAmec39IyEx_6qawtMGysU/edit?usp=sharing"",""สบก!CZ94"")"),278600)</f>
        <v>278600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IFERROR(__xludf.DUMMYFUNCTION("IMPORTRANGE(""https://docs.google.com/spreadsheets/d/1Yj_ptqi66GCucihVvJfMjLAmec39IyEx_6qawtMGysU/edit?usp=sharing"",""สบก!DA94"")"),0)</f>
        <v>0</v>
      </c>
      <c r="M318" s="101"/>
      <c r="N318" s="91">
        <f ca="1">IFERROR(__xludf.DUMMYFUNCTION("IMPORTRANGE(""https://docs.google.com/spreadsheets/d/1Yj_ptqi66GCucihVvJfMjLAmec39IyEx_6qawtMGysU/edit?usp=sharing"",""สบก!DE94"")"),0)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IFERROR(__xludf.DUMMYFUNCTION("IMPORTRANGE(""https://docs.google.com/spreadsheets/d/1IYY_tgx_IHuhSq3AJ5eI5OnqOPBNLWSHKh2a30DoXe8/edit?usp=sharing"",""สุราษฎร์ธานี!J220"")"),0)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IFERROR(__xludf.DUMMYFUNCTION("IMPORTRANGE(""https://docs.google.com/spreadsheets/d/1IYY_tgx_IHuhSq3AJ5eI5OnqOPBNLWSHKh2a30DoXe8/edit?usp=sharing"",""สุราษฎร์ธานี!J221"")"),1)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IFERROR(__xludf.DUMMYFUNCTION("IMPORTRANGE(""https://docs.google.com/spreadsheets/d/1IYY_tgx_IHuhSq3AJ5eI5OnqOPBNLWSHKh2a30DoXe8/edit?usp=sharing"",""สุราษฎร์ธานี!J222"")"),1)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IFERROR(__xludf.DUMMYFUNCTION("IMPORTRANGE(""https://docs.google.com/spreadsheets/d/1IYY_tgx_IHuhSq3AJ5eI5OnqOPBNLWSHKh2a30DoXe8/edit?usp=sharing"",""สุราษฎร์ธานี!J223"")"),1)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IFERROR(__xludf.DUMMYFUNCTION("IMPORTRANGE(""https://docs.google.com/spreadsheets/d/1IYY_tgx_IHuhSq3AJ5eI5OnqOPBNLWSHKh2a30DoXe8/edit?usp=sharing"",""สุราษฎร์ธานี!I224"")"),1)</f>
        <v>1</v>
      </c>
      <c r="J324" s="210">
        <f ca="1">IFERROR(__xludf.DUMMYFUNCTION("IMPORTRANGE(""https://docs.google.com/spreadsheets/d/1IYY_tgx_IHuhSq3AJ5eI5OnqOPBNLWSHKh2a30DoXe8/edit?usp=sharing"",""สุราษฎร์ธานี!J224"")"),1)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IFERROR(__xludf.DUMMYFUNCTION("IMPORTRANGE(""https://docs.google.com/spreadsheets/d/1IYY_tgx_IHuhSq3AJ5eI5OnqOPBNLWSHKh2a30DoXe8/edit?usp=sharing"",""สุราษฎร์ธานี!J225"")"),0)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IFERROR(__xludf.DUMMYFUNCTION("IMPORTRANGE(""https://docs.google.com/spreadsheets/d/1IYY_tgx_IHuhSq3AJ5eI5OnqOPBNLWSHKh2a30DoXe8/edit?usp=sharing"",""สุราษฎร์ธานี!J226"")"),0)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IFERROR(__xludf.DUMMYFUNCTION("IMPORTRANGE(""https://docs.google.com/spreadsheets/d/1IYY_tgx_IHuhSq3AJ5eI5OnqOPBNLWSHKh2a30DoXe8/edit?usp=sharing"",""สุราษฎร์ธานี!I228"")"),550)</f>
        <v>550</v>
      </c>
      <c r="J328" s="345">
        <f ca="1">IFERROR(__xludf.DUMMYFUNCTION("IMPORTRANGE(""https://docs.google.com/spreadsheets/d/1IYY_tgx_IHuhSq3AJ5eI5OnqOPBNLWSHKh2a30DoXe8/edit?usp=sharing"",""สุราษฎร์ธานี!J228"")"),290)</f>
        <v>290</v>
      </c>
      <c r="K328" s="323">
        <f ca="1">IF(I328&gt;0,J328*100/I328,0)</f>
        <v>52.727272727272727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1952810</v>
      </c>
      <c r="M329" s="156">
        <f t="shared" ca="1" si="98"/>
        <v>1493230</v>
      </c>
      <c r="N329" s="156">
        <f t="shared" ca="1" si="98"/>
        <v>909774.34</v>
      </c>
      <c r="O329" s="155">
        <f t="shared" ref="O329:O331" ca="1" si="99">IF(L329&gt;0,N329*100/L329,0)</f>
        <v>46.587959914174959</v>
      </c>
      <c r="P329" s="155">
        <f t="shared" ref="P329:P331" ca="1" si="100">IF(M329&gt;0,N329*100/M329,0)</f>
        <v>60.926604742738895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1952810</v>
      </c>
      <c r="M331" s="161">
        <f t="shared" ca="1" si="102"/>
        <v>1493230</v>
      </c>
      <c r="N331" s="161">
        <f t="shared" ca="1" si="102"/>
        <v>909774.34</v>
      </c>
      <c r="O331" s="160">
        <f t="shared" ca="1" si="99"/>
        <v>46.587959914174959</v>
      </c>
      <c r="P331" s="160">
        <f t="shared" ca="1" si="100"/>
        <v>60.926604742738895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1816010</v>
      </c>
      <c r="M333" s="173">
        <f ca="1">IFERROR(__xludf.DUMMYFUNCTION("IMPORTRANGE(""https://docs.google.com/spreadsheets/d/1Yj_ptqi66GCucihVvJfMjLAmec39IyEx_6qawtMGysU/edit?usp=sharing"",""สบก!DL94"")"),1356430)</f>
        <v>1356430</v>
      </c>
      <c r="N333" s="174">
        <f ca="1">IFERROR(__xludf.DUMMYFUNCTION("IMPORTRANGE(""https://docs.google.com/spreadsheets/d/1Yj_ptqi66GCucihVvJfMjLAmec39IyEx_6qawtMGysU/edit?usp=sharing"",""สบก!DM94"")"),772974.34)</f>
        <v>772974.34</v>
      </c>
      <c r="O333" s="175">
        <f ca="1">IF(L333&gt;0,N333*100/L333,0)</f>
        <v>42.564431913921176</v>
      </c>
      <c r="P333" s="175">
        <f ca="1">IF(M333&gt;0,N333*100/M333,0)</f>
        <v>56.985936613020947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IFERROR(__xludf.DUMMYFUNCTION("IMPORTRANGE(""https://docs.google.com/spreadsheets/d/1Yj_ptqi66GCucihVvJfMjLAmec39IyEx_6qawtMGysU/edit?usp=sharing"",""สบก!DH94"")"),923400)</f>
        <v>923400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IFERROR(__xludf.DUMMYFUNCTION("IMPORTRANGE(""https://docs.google.com/spreadsheets/d/1Yj_ptqi66GCucihVvJfMjLAmec39IyEx_6qawtMGysU/edit?usp=sharing"",""สบก!DI94"")"),892610)</f>
        <v>892610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IFERROR(__xludf.DUMMYFUNCTION("IMPORTRANGE(""https://docs.google.com/spreadsheets/d/1Yj_ptqi66GCucihVvJfMjLAmec39IyEx_6qawtMGysU/edit?usp=sharing"",""สบก!DJ94"")"),136800)</f>
        <v>136800</v>
      </c>
      <c r="M337" s="101">
        <f ca="1">L337</f>
        <v>136800</v>
      </c>
      <c r="N337" s="91">
        <f ca="1">IFERROR(__xludf.DUMMYFUNCTION("IMPORTRANGE(""https://docs.google.com/spreadsheets/d/1Yj_ptqi66GCucihVvJfMjLAmec39IyEx_6qawtMGysU/edit?usp=sharing"",""สบก!DN94"")"),136800)</f>
        <v>136800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IFERROR(__xludf.DUMMYFUNCTION("IMPORTRANGE(""https://docs.google.com/spreadsheets/d/1IYY_tgx_IHuhSq3AJ5eI5OnqOPBNLWSHKh2a30DoXe8/edit?usp=sharing"",""สุราษฎร์ธานี!I234"")"),0)</f>
        <v>0</v>
      </c>
      <c r="J339" s="194">
        <f ca="1">IFERROR(__xludf.DUMMYFUNCTION("IMPORTRANGE(""https://docs.google.com/spreadsheets/d/1IYY_tgx_IHuhSq3AJ5eI5OnqOPBNLWSHKh2a30DoXe8/edit?usp=sharing"",""สุราษฎร์ธานี!J234"")"),437)</f>
        <v>437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IFERROR(__xludf.DUMMYFUNCTION("IMPORTRANGE(""https://docs.google.com/spreadsheets/d/1IYY_tgx_IHuhSq3AJ5eI5OnqOPBNLWSHKh2a30DoXe8/edit?usp=sharing"",""สุราษฎร์ธานี!I235"")"),5600)</f>
        <v>5600</v>
      </c>
      <c r="J340" s="194">
        <f ca="1">IFERROR(__xludf.DUMMYFUNCTION("IMPORTRANGE(""https://docs.google.com/spreadsheets/d/1IYY_tgx_IHuhSq3AJ5eI5OnqOPBNLWSHKh2a30DoXe8/edit?usp=sharing"",""สุราษฎร์ธานี!J235"")"),4249.36)</f>
        <v>4249.3599999999997</v>
      </c>
      <c r="K340" s="348">
        <f t="shared" ca="1" si="103"/>
        <v>75.881428571428557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IFERROR(__xludf.DUMMYFUNCTION("IMPORTRANGE(""https://docs.google.com/spreadsheets/d/1IYY_tgx_IHuhSq3AJ5eI5OnqOPBNLWSHKh2a30DoXe8/edit?usp=sharing"",""สุราษฎร์ธานี!I236"")"),550)</f>
        <v>550</v>
      </c>
      <c r="J341" s="194">
        <f ca="1">IFERROR(__xludf.DUMMYFUNCTION("IMPORTRANGE(""https://docs.google.com/spreadsheets/d/1IYY_tgx_IHuhSq3AJ5eI5OnqOPBNLWSHKh2a30DoXe8/edit?usp=sharing"",""สุราษฎร์ธานี!J236"")"),444)</f>
        <v>444</v>
      </c>
      <c r="K341" s="348">
        <f t="shared" ca="1" si="103"/>
        <v>80.727272727272734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IFERROR(__xludf.DUMMYFUNCTION("IMPORTRANGE(""https://docs.google.com/spreadsheets/d/1IYY_tgx_IHuhSq3AJ5eI5OnqOPBNLWSHKh2a30DoXe8/edit?usp=sharing"",""สุราษฎร์ธานี!I237"")"),0)</f>
        <v>0</v>
      </c>
      <c r="J342" s="194">
        <f ca="1">IFERROR(__xludf.DUMMYFUNCTION("IMPORTRANGE(""https://docs.google.com/spreadsheets/d/1IYY_tgx_IHuhSq3AJ5eI5OnqOPBNLWSHKh2a30DoXe8/edit?usp=sharing"",""สุราษฎร์ธานี!J237"")"),5578.1)</f>
        <v>5578.1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IFERROR(__xludf.DUMMYFUNCTION("IMPORTRANGE(""https://docs.google.com/spreadsheets/d/1IYY_tgx_IHuhSq3AJ5eI5OnqOPBNLWSHKh2a30DoXe8/edit?usp=sharing"",""สุราษฎร์ธานี!I238"")"),550)</f>
        <v>550</v>
      </c>
      <c r="J343" s="194">
        <f ca="1">IFERROR(__xludf.DUMMYFUNCTION("IMPORTRANGE(""https://docs.google.com/spreadsheets/d/1IYY_tgx_IHuhSq3AJ5eI5OnqOPBNLWSHKh2a30DoXe8/edit?usp=sharing"",""สุราษฎร์ธานี!J238"")"),0)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IFERROR(__xludf.DUMMYFUNCTION("IMPORTRANGE(""https://docs.google.com/spreadsheets/d/1IYY_tgx_IHuhSq3AJ5eI5OnqOPBNLWSHKh2a30DoXe8/edit?usp=sharing"",""สุราษฎร์ธานี!I239"")"),0)</f>
        <v>0</v>
      </c>
      <c r="J344" s="194">
        <f ca="1">IFERROR(__xludf.DUMMYFUNCTION("IMPORTRANGE(""https://docs.google.com/spreadsheets/d/1IYY_tgx_IHuhSq3AJ5eI5OnqOPBNLWSHKh2a30DoXe8/edit?usp=sharing"",""สุราษฎร์ธานี!J239"")"),0)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IFERROR(__xludf.DUMMYFUNCTION("IMPORTRANGE(""https://docs.google.com/spreadsheets/d/1IYY_tgx_IHuhSq3AJ5eI5OnqOPBNLWSHKh2a30DoXe8/edit?usp=sharing"",""สุราษฎร์ธานี!I240"")"),550)</f>
        <v>550</v>
      </c>
      <c r="J345" s="194">
        <f ca="1">IFERROR(__xludf.DUMMYFUNCTION("IMPORTRANGE(""https://docs.google.com/spreadsheets/d/1IYY_tgx_IHuhSq3AJ5eI5OnqOPBNLWSHKh2a30DoXe8/edit?usp=sharing"",""สุราษฎร์ธานี!J240"")"),290)</f>
        <v>290</v>
      </c>
      <c r="K345" s="348">
        <f t="shared" ca="1" si="103"/>
        <v>52.727272727272727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IFERROR(__xludf.DUMMYFUNCTION("IMPORTRANGE(""https://docs.google.com/spreadsheets/d/1IYY_tgx_IHuhSq3AJ5eI5OnqOPBNLWSHKh2a30DoXe8/edit?usp=sharing"",""สุราษฎร์ธานี!I241"")"),0)</f>
        <v>0</v>
      </c>
      <c r="J346" s="194">
        <f ca="1">IFERROR(__xludf.DUMMYFUNCTION("IMPORTRANGE(""https://docs.google.com/spreadsheets/d/1IYY_tgx_IHuhSq3AJ5eI5OnqOPBNLWSHKh2a30DoXe8/edit?usp=sharing"",""สุราษฎร์ธานี!J241"")"),4251.14)</f>
        <v>4251.1400000000003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IFERROR(__xludf.DUMMYFUNCTION("IMPORTRANGE(""https://docs.google.com/spreadsheets/d/1IYY_tgx_IHuhSq3AJ5eI5OnqOPBNLWSHKh2a30DoXe8/edit?usp=sharing"",""สุราษฎร์ธานี!L242"")"),2758738.2)</f>
        <v>2758738.2</v>
      </c>
      <c r="M347" s="364"/>
      <c r="N347" s="364">
        <f ca="1">IFERROR(__xludf.DUMMYFUNCTION("IMPORTRANGE(""https://docs.google.com/spreadsheets/d/1IYY_tgx_IHuhSq3AJ5eI5OnqOPBNLWSHKh2a30DoXe8/edit?usp=sharing"",""สุราษฎร์ธานี!M242"")"),742236.12)</f>
        <v>742236.12</v>
      </c>
      <c r="O347" s="364">
        <f ca="1">+IF(L347&gt;0,N347*100/L347,0)</f>
        <v>26.904913267957067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IFERROR(__xludf.DUMMYFUNCTION("IMPORTRANGE(""https://docs.google.com/spreadsheets/d/1IYY_tgx_IHuhSq3AJ5eI5OnqOPBNLWSHKh2a30DoXe8/edit?usp=sharing"",""สุราษฎร์ธานี!I244"")"),80)</f>
        <v>80</v>
      </c>
      <c r="J349" s="377">
        <f ca="1">IFERROR(__xludf.DUMMYFUNCTION("IMPORTRANGE(""https://docs.google.com/spreadsheets/d/1IYY_tgx_IHuhSq3AJ5eI5OnqOPBNLWSHKh2a30DoXe8/edit?usp=sharing"",""สุราษฎร์ธานี!J244"")"),0)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IFERROR(__xludf.DUMMYFUNCTION("IMPORTRANGE(""https://docs.google.com/spreadsheets/d/1IYY_tgx_IHuhSq3AJ5eI5OnqOPBNLWSHKh2a30DoXe8/edit?usp=sharing"",""สุราษฎร์ธานี!L244"")"),311160)</f>
        <v>311160</v>
      </c>
      <c r="M349" s="379"/>
      <c r="N349" s="379">
        <f ca="1">IFERROR(__xludf.DUMMYFUNCTION("IMPORTRANGE(""https://docs.google.com/spreadsheets/d/1IYY_tgx_IHuhSq3AJ5eI5OnqOPBNLWSHKh2a30DoXe8/edit?usp=sharing"",""สุราษฎร์ธานี!M244"")"),130841.959999999)</f>
        <v>130841.959999999</v>
      </c>
      <c r="O349" s="379">
        <f ca="1">+IF(L349&gt;0,N349*100/L349,0)</f>
        <v>42.049736469982967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IFERROR(__xludf.DUMMYFUNCTION("IMPORTRANGE(""https://docs.google.com/spreadsheets/d/1IYY_tgx_IHuhSq3AJ5eI5OnqOPBNLWSHKh2a30DoXe8/edit?usp=sharing"",""สุราษฎร์ธานี!I245"")"),40)</f>
        <v>40</v>
      </c>
      <c r="J350" s="377">
        <f ca="1">IFERROR(__xludf.DUMMYFUNCTION("IMPORTRANGE(""https://docs.google.com/spreadsheets/d/1IYY_tgx_IHuhSq3AJ5eI5OnqOPBNLWSHKh2a30DoXe8/edit?usp=sharing"",""สุราษฎร์ธานี!J245"")"),40)</f>
        <v>40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IFERROR(__xludf.DUMMYFUNCTION("IMPORTRANGE(""https://docs.google.com/spreadsheets/d/1IYY_tgx_IHuhSq3AJ5eI5OnqOPBNLWSHKh2a30DoXe8/edit?usp=sharing"",""สุราษฎร์ธานี!L246"")"),0)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IFERROR(__xludf.DUMMYFUNCTION("IMPORTRANGE(""https://docs.google.com/spreadsheets/d/1IYY_tgx_IHuhSq3AJ5eI5OnqOPBNLWSHKh2a30DoXe8/edit?usp=sharing"",""สุราษฎร์ธานี!M246"")"),0)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IFERROR(__xludf.DUMMYFUNCTION("IMPORTRANGE(""https://docs.google.com/spreadsheets/d/1IYY_tgx_IHuhSq3AJ5eI5OnqOPBNLWSHKh2a30DoXe8/edit?usp=sharing"",""สุราษฎร์ธานี!L247"")"),311160)</f>
        <v>311160</v>
      </c>
      <c r="M352" s="169"/>
      <c r="N352" s="168">
        <f ca="1">IFERROR(__xludf.DUMMYFUNCTION("IMPORTRANGE(""https://docs.google.com/spreadsheets/d/1IYY_tgx_IHuhSq3AJ5eI5OnqOPBNLWSHKh2a30DoXe8/edit?usp=sharing"",""สุราษฎร์ธานี!M247"")"),130841.959999999)</f>
        <v>130841.959999999</v>
      </c>
      <c r="O352" s="169">
        <f t="shared" ca="1" si="105"/>
        <v>42.049736469982967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IFERROR(__xludf.DUMMYFUNCTION("IMPORTRANGE(""https://docs.google.com/spreadsheets/d/1IYY_tgx_IHuhSq3AJ5eI5OnqOPBNLWSHKh2a30DoXe8/edit?usp=sharing"",""สุราษฎร์ธานี!L248"")"),0)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IFERROR(__xludf.DUMMYFUNCTION("IMPORTRANGE(""https://docs.google.com/spreadsheets/d/1IYY_tgx_IHuhSq3AJ5eI5OnqOPBNLWSHKh2a30DoXe8/edit?usp=sharing"",""สุราษฎร์ธานี!M248"")"),0)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IFERROR(__xludf.DUMMYFUNCTION("IMPORTRANGE(""https://docs.google.com/spreadsheets/d/1IYY_tgx_IHuhSq3AJ5eI5OnqOPBNLWSHKh2a30DoXe8/edit?usp=sharing"",""สุราษฎร์ธานี!L249"")"),311160)</f>
        <v>311160</v>
      </c>
      <c r="M354" s="175"/>
      <c r="N354" s="172">
        <f ca="1">IFERROR(__xludf.DUMMYFUNCTION("IMPORTRANGE(""https://docs.google.com/spreadsheets/d/1IYY_tgx_IHuhSq3AJ5eI5OnqOPBNLWSHKh2a30DoXe8/edit?usp=sharing"",""สุราษฎร์ธานี!M249"")"),130841.959999999)</f>
        <v>130841.959999999</v>
      </c>
      <c r="O354" s="175">
        <f t="shared" ca="1" si="105"/>
        <v>42.049736469982967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IFERROR(__xludf.DUMMYFUNCTION("IMPORTRANGE(""https://docs.google.com/spreadsheets/d/1IYY_tgx_IHuhSq3AJ5eI5OnqOPBNLWSHKh2a30DoXe8/edit?usp=sharing"",""สุราษฎร์ธานี!M250"")"),50400)</f>
        <v>50400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IFERROR(__xludf.DUMMYFUNCTION("IMPORTRANGE(""https://docs.google.com/spreadsheets/d/1IYY_tgx_IHuhSq3AJ5eI5OnqOPBNLWSHKh2a30DoXe8/edit?usp=sharing"",""สุราษฎร์ธานี!M251"")"),0)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IFERROR(__xludf.DUMMYFUNCTION("IMPORTRANGE(""https://docs.google.com/spreadsheets/d/1IYY_tgx_IHuhSq3AJ5eI5OnqOPBNLWSHKh2a30DoXe8/edit?usp=sharing"",""สุราษฎร์ธานี!M252"")"),75441.9599999999)</f>
        <v>75441.959999999905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IFERROR(__xludf.DUMMYFUNCTION("IMPORTRANGE(""https://docs.google.com/spreadsheets/d/1IYY_tgx_IHuhSq3AJ5eI5OnqOPBNLWSHKh2a30DoXe8/edit?usp=sharing"",""สุราษฎร์ธานี!M253"")"),5000)</f>
        <v>5000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IFERROR(__xludf.DUMMYFUNCTION("IMPORTRANGE(""https://docs.google.com/spreadsheets/d/1IYY_tgx_IHuhSq3AJ5eI5OnqOPBNLWSHKh2a30DoXe8/edit?usp=sharing"",""สุราษฎร์ธานี!J255"")"),0)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IFERROR(__xludf.DUMMYFUNCTION("IMPORTRANGE(""https://docs.google.com/spreadsheets/d/1IYY_tgx_IHuhSq3AJ5eI5OnqOPBNLWSHKh2a30DoXe8/edit?usp=sharing"",""สุราษฎร์ธานี!J256"")"),1)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IFERROR(__xludf.DUMMYFUNCTION("IMPORTRANGE(""https://docs.google.com/spreadsheets/d/1IYY_tgx_IHuhSq3AJ5eI5OnqOPBNLWSHKh2a30DoXe8/edit?usp=sharing"",""สุราษฎร์ธานี!J257"")"),1)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IFERROR(__xludf.DUMMYFUNCTION("IMPORTRANGE(""https://docs.google.com/spreadsheets/d/1IYY_tgx_IHuhSq3AJ5eI5OnqOPBNLWSHKh2a30DoXe8/edit?usp=sharing"",""สุราษฎร์ธานี!J258"")"),1)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IFERROR(__xludf.DUMMYFUNCTION("IMPORTRANGE(""https://docs.google.com/spreadsheets/d/1IYY_tgx_IHuhSq3AJ5eI5OnqOPBNLWSHKh2a30DoXe8/edit?usp=sharing"",""สุราษฎร์ธานี!J166"")"),0)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IFERROR(__xludf.DUMMYFUNCTION("IMPORTRANGE(""https://docs.google.com/spreadsheets/d/1IYY_tgx_IHuhSq3AJ5eI5OnqOPBNLWSHKh2a30DoXe8/edit?usp=sharing"",""สุราษฎร์ธานี!J166"")"),0)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IFERROR(__xludf.DUMMYFUNCTION("IMPORTRANGE(""https://docs.google.com/spreadsheets/d/1IYY_tgx_IHuhSq3AJ5eI5OnqOPBNLWSHKh2a30DoXe8/edit?usp=sharing"",""สุราษฎร์ธานี!J166"")"),0)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IFERROR(__xludf.DUMMYFUNCTION("IMPORTRANGE(""https://docs.google.com/spreadsheets/d/1IYY_tgx_IHuhSq3AJ5eI5OnqOPBNLWSHKh2a30DoXe8/edit?usp=sharing"",""สุราษฎร์ธานี!J166"")"),0)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IFERROR(__xludf.DUMMYFUNCTION("IMPORTRANGE(""https://docs.google.com/spreadsheets/d/1IYY_tgx_IHuhSq3AJ5eI5OnqOPBNLWSHKh2a30DoXe8/edit?usp=sharing"",""สุราษฎร์ธานี!I263"")"),40)</f>
        <v>40</v>
      </c>
      <c r="J368" s="194">
        <f ca="1">IFERROR(__xludf.DUMMYFUNCTION("IMPORTRANGE(""https://docs.google.com/spreadsheets/d/1IYY_tgx_IHuhSq3AJ5eI5OnqOPBNLWSHKh2a30DoXe8/edit?usp=sharing"",""สุราษฎร์ธานี!J263"")"),40)</f>
        <v>40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IFERROR(__xludf.DUMMYFUNCTION("IMPORTRANGE(""https://docs.google.com/spreadsheets/d/1IYY_tgx_IHuhSq3AJ5eI5OnqOPBNLWSHKh2a30DoXe8/edit?usp=sharing"",""สุราษฎร์ธานี!I164"")"),0)</f>
        <v>0</v>
      </c>
      <c r="J369" s="210">
        <f ca="1">IFERROR(__xludf.DUMMYFUNCTION("IMPORTRANGE(""https://docs.google.com/spreadsheets/d/1IYY_tgx_IHuhSq3AJ5eI5OnqOPBNLWSHKh2a30DoXe8/edit?usp=sharing"",""สุราษฎร์ธานี!J164"")"),0)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IFERROR(__xludf.DUMMYFUNCTION("IMPORTRANGE(""https://docs.google.com/spreadsheets/d/1IYY_tgx_IHuhSq3AJ5eI5OnqOPBNLWSHKh2a30DoXe8/edit?usp=sharing"",""สุราษฎร์ธานี!I265"")"),40)</f>
        <v>40</v>
      </c>
      <c r="J370" s="210">
        <f ca="1">IFERROR(__xludf.DUMMYFUNCTION("IMPORTRANGE(""https://docs.google.com/spreadsheets/d/1IYY_tgx_IHuhSq3AJ5eI5OnqOPBNLWSHKh2a30DoXe8/edit?usp=sharing"",""สุราษฎร์ธานี!J265"")"),20)</f>
        <v>20</v>
      </c>
      <c r="K370" s="167">
        <f t="shared" ca="1" si="106"/>
        <v>50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IFERROR(__xludf.DUMMYFUNCTION("IMPORTRANGE(""https://docs.google.com/spreadsheets/d/1IYY_tgx_IHuhSq3AJ5eI5OnqOPBNLWSHKh2a30DoXe8/edit?usp=sharing"",""สุราษฎร์ธานี!I164"")"),0)</f>
        <v>0</v>
      </c>
      <c r="J371" s="195">
        <f ca="1">IFERROR(__xludf.DUMMYFUNCTION("IMPORTRANGE(""https://docs.google.com/spreadsheets/d/1IYY_tgx_IHuhSq3AJ5eI5OnqOPBNLWSHKh2a30DoXe8/edit?usp=sharing"",""สุราษฎร์ธานี!J164"")"),0)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IFERROR(__xludf.DUMMYFUNCTION("IMPORTRANGE(""https://docs.google.com/spreadsheets/d/1IYY_tgx_IHuhSq3AJ5eI5OnqOPBNLWSHKh2a30DoXe8/edit?usp=sharing"",""สุราษฎร์ธานี!I267"")"),40)</f>
        <v>40</v>
      </c>
      <c r="J372" s="195">
        <f ca="1">IFERROR(__xludf.DUMMYFUNCTION("IMPORTRANGE(""https://docs.google.com/spreadsheets/d/1IYY_tgx_IHuhSq3AJ5eI5OnqOPBNLWSHKh2a30DoXe8/edit?usp=sharing"",""สุราษฎร์ธานี!J267"")"),20)</f>
        <v>20</v>
      </c>
      <c r="K372" s="167">
        <f t="shared" ca="1" si="106"/>
        <v>50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IFERROR(__xludf.DUMMYFUNCTION("IMPORTRANGE(""https://docs.google.com/spreadsheets/d/1IYY_tgx_IHuhSq3AJ5eI5OnqOPBNLWSHKh2a30DoXe8/edit?usp=sharing"",""สุราษฎร์ธานี!I164"")"),0)</f>
        <v>0</v>
      </c>
      <c r="J373" s="210">
        <f ca="1">IFERROR(__xludf.DUMMYFUNCTION("IMPORTRANGE(""https://docs.google.com/spreadsheets/d/1IYY_tgx_IHuhSq3AJ5eI5OnqOPBNLWSHKh2a30DoXe8/edit?usp=sharing"",""สุราษฎร์ธานี!J164"")"),0)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IFERROR(__xludf.DUMMYFUNCTION("IMPORTRANGE(""https://docs.google.com/spreadsheets/d/1IYY_tgx_IHuhSq3AJ5eI5OnqOPBNLWSHKh2a30DoXe8/edit?usp=sharing"",""สุราษฎร์ธานี!I164"")"),0)</f>
        <v>0</v>
      </c>
      <c r="J374" s="194">
        <f ca="1">IFERROR(__xludf.DUMMYFUNCTION("IMPORTRANGE(""https://docs.google.com/spreadsheets/d/1IYY_tgx_IHuhSq3AJ5eI5OnqOPBNLWSHKh2a30DoXe8/edit?usp=sharing"",""สุราษฎร์ธานี!J164"")"),0)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IFERROR(__xludf.DUMMYFUNCTION("IMPORTRANGE(""https://docs.google.com/spreadsheets/d/1IYY_tgx_IHuhSq3AJ5eI5OnqOPBNLWSHKh2a30DoXe8/edit?usp=sharing"",""สุราษฎร์ธานี!I270"")"),80)</f>
        <v>80</v>
      </c>
      <c r="J375" s="194">
        <f ca="1">IFERROR(__xludf.DUMMYFUNCTION("IMPORTRANGE(""https://docs.google.com/spreadsheets/d/1IYY_tgx_IHuhSq3AJ5eI5OnqOPBNLWSHKh2a30DoXe8/edit?usp=sharing"",""สุราษฎร์ธานี!J270"")"),0)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IFERROR(__xludf.DUMMYFUNCTION("IMPORTRANGE(""https://docs.google.com/spreadsheets/d/1IYY_tgx_IHuhSq3AJ5eI5OnqOPBNLWSHKh2a30DoXe8/edit?usp=sharing"",""สุราษฎร์ธานี!I271"")"),40)</f>
        <v>40</v>
      </c>
      <c r="J376" s="195">
        <f ca="1">IFERROR(__xludf.DUMMYFUNCTION("IMPORTRANGE(""https://docs.google.com/spreadsheets/d/1IYY_tgx_IHuhSq3AJ5eI5OnqOPBNLWSHKh2a30DoXe8/edit?usp=sharing"",""สุราษฎร์ธานี!J271"")"),0)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IFERROR(__xludf.DUMMYFUNCTION("IMPORTRANGE(""https://docs.google.com/spreadsheets/d/1IYY_tgx_IHuhSq3AJ5eI5OnqOPBNLWSHKh2a30DoXe8/edit?usp=sharing"",""สุราษฎร์ธานี!I272"")"),40)</f>
        <v>40</v>
      </c>
      <c r="J377" s="210">
        <f ca="1">IFERROR(__xludf.DUMMYFUNCTION("IMPORTRANGE(""https://docs.google.com/spreadsheets/d/1IYY_tgx_IHuhSq3AJ5eI5OnqOPBNLWSHKh2a30DoXe8/edit?usp=sharing"",""สุราษฎร์ธานี!J272"")"),0)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IFERROR(__xludf.DUMMYFUNCTION("IMPORTRANGE(""https://docs.google.com/spreadsheets/d/1IYY_tgx_IHuhSq3AJ5eI5OnqOPBNLWSHKh2a30DoXe8/edit?usp=sharing"",""สุราษฎร์ธานี!J273"")"),0)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IFERROR(__xludf.DUMMYFUNCTION("IMPORTRANGE(""https://docs.google.com/spreadsheets/d/1IYY_tgx_IHuhSq3AJ5eI5OnqOPBNLWSHKh2a30DoXe8/edit?usp=sharing"",""สุราษฎร์ธานี!J274"")"),0)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IFERROR(__xludf.DUMMYFUNCTION("IMPORTRANGE(""https://docs.google.com/spreadsheets/d/1IYY_tgx_IHuhSq3AJ5eI5OnqOPBNLWSHKh2a30DoXe8/edit?usp=sharing"",""สุราษฎร์ธานี!I275"")"),1000)</f>
        <v>1000</v>
      </c>
      <c r="J380" s="377">
        <f ca="1">IFERROR(__xludf.DUMMYFUNCTION("IMPORTRANGE(""https://docs.google.com/spreadsheets/d/1IYY_tgx_IHuhSq3AJ5eI5OnqOPBNLWSHKh2a30DoXe8/edit?usp=sharing"",""สุราษฎร์ธานี!J275"")"),0)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IFERROR(__xludf.DUMMYFUNCTION("IMPORTRANGE(""https://docs.google.com/spreadsheets/d/1IYY_tgx_IHuhSq3AJ5eI5OnqOPBNLWSHKh2a30DoXe8/edit?usp=sharing"",""สุราษฎร์ธานี!L275"")"),1028520)</f>
        <v>1028520</v>
      </c>
      <c r="M380" s="379"/>
      <c r="N380" s="379">
        <f ca="1">IFERROR(__xludf.DUMMYFUNCTION("IMPORTRANGE(""https://docs.google.com/spreadsheets/d/1IYY_tgx_IHuhSq3AJ5eI5OnqOPBNLWSHKh2a30DoXe8/edit?usp=sharing"",""สุราษฎร์ธานี!M275"")"),278391.17)</f>
        <v>278391.17</v>
      </c>
      <c r="O380" s="379">
        <f ca="1">+IF(L380&gt;0,N380*100/L380,0)</f>
        <v>27.067161552522069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IFERROR(__xludf.DUMMYFUNCTION("IMPORTRANGE(""https://docs.google.com/spreadsheets/d/1IYY_tgx_IHuhSq3AJ5eI5OnqOPBNLWSHKh2a30DoXe8/edit?usp=sharing"",""สุราษฎร์ธานี!I276"")"),100)</f>
        <v>100</v>
      </c>
      <c r="J381" s="377">
        <f ca="1">IFERROR(__xludf.DUMMYFUNCTION("IMPORTRANGE(""https://docs.google.com/spreadsheets/d/1IYY_tgx_IHuhSq3AJ5eI5OnqOPBNLWSHKh2a30DoXe8/edit?usp=sharing"",""สุราษฎร์ธานี!J276"")"),100)</f>
        <v>100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IFERROR(__xludf.DUMMYFUNCTION("IMPORTRANGE(""https://docs.google.com/spreadsheets/d/1IYY_tgx_IHuhSq3AJ5eI5OnqOPBNLWSHKh2a30DoXe8/edit?usp=sharing"",""สุราษฎร์ธานี!L277"")"),0)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IFERROR(__xludf.DUMMYFUNCTION("IMPORTRANGE(""https://docs.google.com/spreadsheets/d/1IYY_tgx_IHuhSq3AJ5eI5OnqOPBNLWSHKh2a30DoXe8/edit?usp=sharing"",""สุราษฎร์ธานี!M277"")"),0)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IFERROR(__xludf.DUMMYFUNCTION("IMPORTRANGE(""https://docs.google.com/spreadsheets/d/1IYY_tgx_IHuhSq3AJ5eI5OnqOPBNLWSHKh2a30DoXe8/edit?usp=sharing"",""สุราษฎร์ธานี!L278"")"),1028520)</f>
        <v>1028520</v>
      </c>
      <c r="M383" s="169"/>
      <c r="N383" s="169">
        <f ca="1">IFERROR(__xludf.DUMMYFUNCTION("IMPORTRANGE(""https://docs.google.com/spreadsheets/d/1IYY_tgx_IHuhSq3AJ5eI5OnqOPBNLWSHKh2a30DoXe8/edit?usp=sharing"",""สุราษฎร์ธานี!M278"")"),278391.17)</f>
        <v>278391.17</v>
      </c>
      <c r="O383" s="169">
        <f t="shared" ca="1" si="109"/>
        <v>27.067161552522069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IFERROR(__xludf.DUMMYFUNCTION("IMPORTRANGE(""https://docs.google.com/spreadsheets/d/1IYY_tgx_IHuhSq3AJ5eI5OnqOPBNLWSHKh2a30DoXe8/edit?usp=sharing"",""สุราษฎร์ธานี!L279"")"),0)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IFERROR(__xludf.DUMMYFUNCTION("IMPORTRANGE(""https://docs.google.com/spreadsheets/d/1IYY_tgx_IHuhSq3AJ5eI5OnqOPBNLWSHKh2a30DoXe8/edit?usp=sharing"",""สุราษฎร์ธานี!M279"")"),0)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IFERROR(__xludf.DUMMYFUNCTION("IMPORTRANGE(""https://docs.google.com/spreadsheets/d/1IYY_tgx_IHuhSq3AJ5eI5OnqOPBNLWSHKh2a30DoXe8/edit?usp=sharing"",""สุราษฎร์ธานี!L280"")"),1028520)</f>
        <v>1028520</v>
      </c>
      <c r="M385" s="175"/>
      <c r="N385" s="172">
        <f ca="1">IFERROR(__xludf.DUMMYFUNCTION("IMPORTRANGE(""https://docs.google.com/spreadsheets/d/1IYY_tgx_IHuhSq3AJ5eI5OnqOPBNLWSHKh2a30DoXe8/edit?usp=sharing"",""สุราษฎร์ธานี!M280"")"),278391.17)</f>
        <v>278391.17</v>
      </c>
      <c r="O385" s="175">
        <f t="shared" ca="1" si="109"/>
        <v>27.067161552522069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IFERROR(__xludf.DUMMYFUNCTION("IMPORTRANGE(""https://docs.google.com/spreadsheets/d/1IYY_tgx_IHuhSq3AJ5eI5OnqOPBNLWSHKh2a30DoXe8/edit?usp=sharing"",""สุราษฎร์ธานี!M281"")"),197999)</f>
        <v>197999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IFERROR(__xludf.DUMMYFUNCTION("IMPORTRANGE(""https://docs.google.com/spreadsheets/d/1IYY_tgx_IHuhSq3AJ5eI5OnqOPBNLWSHKh2a30DoXe8/edit?usp=sharing"",""สุราษฎร์ธานี!M282"")"),0)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IFERROR(__xludf.DUMMYFUNCTION("IMPORTRANGE(""https://docs.google.com/spreadsheets/d/1IYY_tgx_IHuhSq3AJ5eI5OnqOPBNLWSHKh2a30DoXe8/edit?usp=sharing"",""สุราษฎร์ธานี!M283"")"),64202.17)</f>
        <v>64202.17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IFERROR(__xludf.DUMMYFUNCTION("IMPORTRANGE(""https://docs.google.com/spreadsheets/d/1IYY_tgx_IHuhSq3AJ5eI5OnqOPBNLWSHKh2a30DoXe8/edit?usp=sharing"",""สุราษฎร์ธานี!M284"")"),16190)</f>
        <v>16190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IFERROR(__xludf.DUMMYFUNCTION("IMPORTRANGE(""https://docs.google.com/spreadsheets/d/1IYY_tgx_IHuhSq3AJ5eI5OnqOPBNLWSHKh2a30DoXe8/edit?usp=sharing"",""สุราษฎร์ธานี!J286"")"),0)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IFERROR(__xludf.DUMMYFUNCTION("IMPORTRANGE(""https://docs.google.com/spreadsheets/d/1IYY_tgx_IHuhSq3AJ5eI5OnqOPBNLWSHKh2a30DoXe8/edit?usp=sharing"",""สุราษฎร์ธานี!J287"")"),1)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IFERROR(__xludf.DUMMYFUNCTION("IMPORTRANGE(""https://docs.google.com/spreadsheets/d/1IYY_tgx_IHuhSq3AJ5eI5OnqOPBNLWSHKh2a30DoXe8/edit?usp=sharing"",""สุราษฎร์ธานี!J288"")"),1)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IFERROR(__xludf.DUMMYFUNCTION("IMPORTRANGE(""https://docs.google.com/spreadsheets/d/1IYY_tgx_IHuhSq3AJ5eI5OnqOPBNLWSHKh2a30DoXe8/edit?usp=sharing"",""สุราษฎร์ธานี!J289"")"),1)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IFERROR(__xludf.DUMMYFUNCTION("IMPORTRANGE(""https://docs.google.com/spreadsheets/d/1IYY_tgx_IHuhSq3AJ5eI5OnqOPBNLWSHKh2a30DoXe8/edit?usp=sharing"",""สุราษฎร์ธานี!I291"")"),100)</f>
        <v>100</v>
      </c>
      <c r="J396" s="204">
        <f ca="1">IFERROR(__xludf.DUMMYFUNCTION("IMPORTRANGE(""https://docs.google.com/spreadsheets/d/1IYY_tgx_IHuhSq3AJ5eI5OnqOPBNLWSHKh2a30DoXe8/edit?usp=sharing"",""สุราษฎร์ธานี!J291"")"),100)</f>
        <v>100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IFERROR(__xludf.DUMMYFUNCTION("IMPORTRANGE(""https://docs.google.com/spreadsheets/d/1IYY_tgx_IHuhSq3AJ5eI5OnqOPBNLWSHKh2a30DoXe8/edit?usp=sharing"",""สุราษฎร์ธานี!I292"")"),1000)</f>
        <v>1000</v>
      </c>
      <c r="J397" s="204">
        <f ca="1">IFERROR(__xludf.DUMMYFUNCTION("IMPORTRANGE(""https://docs.google.com/spreadsheets/d/1IYY_tgx_IHuhSq3AJ5eI5OnqOPBNLWSHKh2a30DoXe8/edit?usp=sharing"",""สุราษฎร์ธานี!J292"")"),0)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IFERROR(__xludf.DUMMYFUNCTION("IMPORTRANGE(""https://docs.google.com/spreadsheets/d/1IYY_tgx_IHuhSq3AJ5eI5OnqOPBNLWSHKh2a30DoXe8/edit?usp=sharing"",""สุราษฎร์ธานี!I293"")"),100)</f>
        <v>100</v>
      </c>
      <c r="J398" s="204">
        <f ca="1">IFERROR(__xludf.DUMMYFUNCTION("IMPORTRANGE(""https://docs.google.com/spreadsheets/d/1IYY_tgx_IHuhSq3AJ5eI5OnqOPBNLWSHKh2a30DoXe8/edit?usp=sharing"",""สุราษฎร์ธานี!J293"")"),0)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IFERROR(__xludf.DUMMYFUNCTION("IMPORTRANGE(""https://docs.google.com/spreadsheets/d/1IYY_tgx_IHuhSq3AJ5eI5OnqOPBNLWSHKh2a30DoXe8/edit?usp=sharing"",""สุราษฎร์ธานี!J294"")"),0)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IFERROR(__xludf.DUMMYFUNCTION("IMPORTRANGE(""https://docs.google.com/spreadsheets/d/1IYY_tgx_IHuhSq3AJ5eI5OnqOPBNLWSHKh2a30DoXe8/edit?usp=sharing"",""สุราษฎร์ธานี!J295"")"),0)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IFERROR(__xludf.DUMMYFUNCTION("IMPORTRANGE(""https://docs.google.com/spreadsheets/d/1IYY_tgx_IHuhSq3AJ5eI5OnqOPBNLWSHKh2a30DoXe8/edit?usp=sharing"",""สุราษฎร์ธานี!I296"")"),75)</f>
        <v>75</v>
      </c>
      <c r="J401" s="377">
        <f ca="1">IFERROR(__xludf.DUMMYFUNCTION("IMPORTRANGE(""https://docs.google.com/spreadsheets/d/1IYY_tgx_IHuhSq3AJ5eI5OnqOPBNLWSHKh2a30DoXe8/edit?usp=sharing"",""สุราษฎร์ธานี!J296"")"),75)</f>
        <v>75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IFERROR(__xludf.DUMMYFUNCTION("IMPORTRANGE(""https://docs.google.com/spreadsheets/d/1IYY_tgx_IHuhSq3AJ5eI5OnqOPBNLWSHKh2a30DoXe8/edit?usp=sharing"",""สุราษฎร์ธานี!L296"")"),81620)</f>
        <v>81620</v>
      </c>
      <c r="M401" s="379"/>
      <c r="N401" s="379">
        <f ca="1">IFERROR(__xludf.DUMMYFUNCTION("IMPORTRANGE(""https://docs.google.com/spreadsheets/d/1IYY_tgx_IHuhSq3AJ5eI5OnqOPBNLWSHKh2a30DoXe8/edit?usp=sharing"",""สุราษฎร์ธานี!M296"")"),48960)</f>
        <v>48960</v>
      </c>
      <c r="O401" s="379">
        <f ca="1">+IF(L401&gt;0,N401*100/L401,0)</f>
        <v>59.985297721146779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IFERROR(__xludf.DUMMYFUNCTION("IMPORTRANGE(""https://docs.google.com/spreadsheets/d/1IYY_tgx_IHuhSq3AJ5eI5OnqOPBNLWSHKh2a30DoXe8/edit?usp=sharing"",""สุราษฎร์ธานี!I297"")"),25)</f>
        <v>25</v>
      </c>
      <c r="J402" s="377">
        <f ca="1">IFERROR(__xludf.DUMMYFUNCTION("IMPORTRANGE(""https://docs.google.com/spreadsheets/d/1IYY_tgx_IHuhSq3AJ5eI5OnqOPBNLWSHKh2a30DoXe8/edit?usp=sharing"",""สุราษฎร์ธานี!J297"")"),25)</f>
        <v>25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IFERROR(__xludf.DUMMYFUNCTION("IMPORTRANGE(""https://docs.google.com/spreadsheets/d/1IYY_tgx_IHuhSq3AJ5eI5OnqOPBNLWSHKh2a30DoXe8/edit?usp=sharing"",""สุราษฎร์ธานี!L298"")"),0)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IFERROR(__xludf.DUMMYFUNCTION("IMPORTRANGE(""https://docs.google.com/spreadsheets/d/1IYY_tgx_IHuhSq3AJ5eI5OnqOPBNLWSHKh2a30DoXe8/edit?usp=sharing"",""สุราษฎร์ธานี!M298"")"),0)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IFERROR(__xludf.DUMMYFUNCTION("IMPORTRANGE(""https://docs.google.com/spreadsheets/d/1IYY_tgx_IHuhSq3AJ5eI5OnqOPBNLWSHKh2a30DoXe8/edit?usp=sharing"",""สุราษฎร์ธานี!L299"")"),81620)</f>
        <v>81620</v>
      </c>
      <c r="M404" s="169"/>
      <c r="N404" s="175">
        <f ca="1">IFERROR(__xludf.DUMMYFUNCTION("IMPORTRANGE(""https://docs.google.com/spreadsheets/d/1IYY_tgx_IHuhSq3AJ5eI5OnqOPBNLWSHKh2a30DoXe8/edit?usp=sharing"",""สุราษฎร์ธานี!M299"")"),48960)</f>
        <v>48960</v>
      </c>
      <c r="O404" s="175">
        <f t="shared" ca="1" si="112"/>
        <v>59.985297721146779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IFERROR(__xludf.DUMMYFUNCTION("IMPORTRANGE(""https://docs.google.com/spreadsheets/d/1IYY_tgx_IHuhSq3AJ5eI5OnqOPBNLWSHKh2a30DoXe8/edit?usp=sharing"",""สุราษฎร์ธานี!L300"")"),0)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IFERROR(__xludf.DUMMYFUNCTION("IMPORTRANGE(""https://docs.google.com/spreadsheets/d/1IYY_tgx_IHuhSq3AJ5eI5OnqOPBNLWSHKh2a30DoXe8/edit?usp=sharing"",""สุราษฎร์ธานี!M300"")"),0)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IFERROR(__xludf.DUMMYFUNCTION("IMPORTRANGE(""https://docs.google.com/spreadsheets/d/1IYY_tgx_IHuhSq3AJ5eI5OnqOPBNLWSHKh2a30DoXe8/edit?usp=sharing"",""สุราษฎร์ธานี!L301"")"),81620)</f>
        <v>81620</v>
      </c>
      <c r="M406" s="175"/>
      <c r="N406" s="175">
        <f ca="1">IFERROR(__xludf.DUMMYFUNCTION("IMPORTRANGE(""https://docs.google.com/spreadsheets/d/1IYY_tgx_IHuhSq3AJ5eI5OnqOPBNLWSHKh2a30DoXe8/edit?usp=sharing"",""สุราษฎร์ธานี!M301"")"),48960)</f>
        <v>48960</v>
      </c>
      <c r="O406" s="175">
        <f t="shared" ca="1" si="112"/>
        <v>59.985297721146779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IFERROR(__xludf.DUMMYFUNCTION("IMPORTRANGE(""https://docs.google.com/spreadsheets/d/1IYY_tgx_IHuhSq3AJ5eI5OnqOPBNLWSHKh2a30DoXe8/edit?usp=sharing"",""สุราษฎร์ธานี!M302"")"),44900)</f>
        <v>44900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IFERROR(__xludf.DUMMYFUNCTION("IMPORTRANGE(""https://docs.google.com/spreadsheets/d/1IYY_tgx_IHuhSq3AJ5eI5OnqOPBNLWSHKh2a30DoXe8/edit?usp=sharing"",""สุราษฎร์ธานี!M303"")"),0)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IFERROR(__xludf.DUMMYFUNCTION("IMPORTRANGE(""https://docs.google.com/spreadsheets/d/1IYY_tgx_IHuhSq3AJ5eI5OnqOPBNLWSHKh2a30DoXe8/edit?usp=sharing"",""สุราษฎร์ธานี!M304"")"),0)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IFERROR(__xludf.DUMMYFUNCTION("IMPORTRANGE(""https://docs.google.com/spreadsheets/d/1IYY_tgx_IHuhSq3AJ5eI5OnqOPBNLWSHKh2a30DoXe8/edit?usp=sharing"",""สุราษฎร์ธานี!M305"")"),4060)</f>
        <v>4060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IFERROR(__xludf.DUMMYFUNCTION("IMPORTRANGE(""https://docs.google.com/spreadsheets/d/1IYY_tgx_IHuhSq3AJ5eI5OnqOPBNLWSHKh2a30DoXe8/edit?usp=sharing"",""สุราษฎร์ธานี!J307"")"),0)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IFERROR(__xludf.DUMMYFUNCTION("IMPORTRANGE(""https://docs.google.com/spreadsheets/d/1IYY_tgx_IHuhSq3AJ5eI5OnqOPBNLWSHKh2a30DoXe8/edit?usp=sharing"",""สุราษฎร์ธานี!J308"")"),1)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IFERROR(__xludf.DUMMYFUNCTION("IMPORTRANGE(""https://docs.google.com/spreadsheets/d/1IYY_tgx_IHuhSq3AJ5eI5OnqOPBNLWSHKh2a30DoXe8/edit?usp=sharing"",""สุราษฎร์ธานี!J309"")"),1)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IFERROR(__xludf.DUMMYFUNCTION("IMPORTRANGE(""https://docs.google.com/spreadsheets/d/1IYY_tgx_IHuhSq3AJ5eI5OnqOPBNLWSHKh2a30DoXe8/edit?usp=sharing"",""สุราษฎร์ธานี!J310"")"),1)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IFERROR(__xludf.DUMMYFUNCTION("IMPORTRANGE(""https://docs.google.com/spreadsheets/d/1IYY_tgx_IHuhSq3AJ5eI5OnqOPBNLWSHKh2a30DoXe8/edit?usp=sharing"",""สุราษฎร์ธานี!I311"")"),25)</f>
        <v>25</v>
      </c>
      <c r="J416" s="207">
        <f ca="1">IFERROR(__xludf.DUMMYFUNCTION("IMPORTRANGE(""https://docs.google.com/spreadsheets/d/1IYY_tgx_IHuhSq3AJ5eI5OnqOPBNLWSHKh2a30DoXe8/edit?usp=sharing"",""สุราษฎร์ธานี!J311"")"),25)</f>
        <v>25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IFERROR(__xludf.DUMMYFUNCTION("IMPORTRANGE(""https://docs.google.com/spreadsheets/d/1IYY_tgx_IHuhSq3AJ5eI5OnqOPBNLWSHKh2a30DoXe8/edit?usp=sharing"",""สุราษฎร์ธานี!I312"")"),10)</f>
        <v>10</v>
      </c>
      <c r="J417" s="398">
        <f ca="1">IFERROR(__xludf.DUMMYFUNCTION("IMPORTRANGE(""https://docs.google.com/spreadsheets/d/1IYY_tgx_IHuhSq3AJ5eI5OnqOPBNLWSHKh2a30DoXe8/edit?usp=sharing"",""สุราษฎร์ธานี!J312"")"),10)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IFERROR(__xludf.DUMMYFUNCTION("IMPORTRANGE(""https://docs.google.com/spreadsheets/d/1IYY_tgx_IHuhSq3AJ5eI5OnqOPBNLWSHKh2a30DoXe8/edit?usp=sharing"",""สุราษฎร์ธานี!I313"")"),30)</f>
        <v>30</v>
      </c>
      <c r="J418" s="399">
        <f ca="1">IFERROR(__xludf.DUMMYFUNCTION("IMPORTRANGE(""https://docs.google.com/spreadsheets/d/1IYY_tgx_IHuhSq3AJ5eI5OnqOPBNLWSHKh2a30DoXe8/edit?usp=sharing"",""สุราษฎร์ธานี!J313"")"),30)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IFERROR(__xludf.DUMMYFUNCTION("IMPORTRANGE(""https://docs.google.com/spreadsheets/d/1IYY_tgx_IHuhSq3AJ5eI5OnqOPBNLWSHKh2a30DoXe8/edit?usp=sharing"",""สุราษฎร์ธานี!I314"")"),10)</f>
        <v>10</v>
      </c>
      <c r="J419" s="400">
        <f ca="1">IFERROR(__xludf.DUMMYFUNCTION("IMPORTRANGE(""https://docs.google.com/spreadsheets/d/1IYY_tgx_IHuhSq3AJ5eI5OnqOPBNLWSHKh2a30DoXe8/edit?usp=sharing"",""สุราษฎร์ธานี!J314"")"),10)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IFERROR(__xludf.DUMMYFUNCTION("IMPORTRANGE(""https://docs.google.com/spreadsheets/d/1IYY_tgx_IHuhSq3AJ5eI5OnqOPBNLWSHKh2a30DoXe8/edit?usp=sharing"",""สุราษฎร์ธานี!I315"")"),10)</f>
        <v>10</v>
      </c>
      <c r="J420" s="400">
        <f ca="1">IFERROR(__xludf.DUMMYFUNCTION("IMPORTRANGE(""https://docs.google.com/spreadsheets/d/1IYY_tgx_IHuhSq3AJ5eI5OnqOPBNLWSHKh2a30DoXe8/edit?usp=sharing"",""สุราษฎร์ธานี!J315"")"),10)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IFERROR(__xludf.DUMMYFUNCTION("IMPORTRANGE(""https://docs.google.com/spreadsheets/d/1IYY_tgx_IHuhSq3AJ5eI5OnqOPBNLWSHKh2a30DoXe8/edit?usp=sharing"",""สุราษฎร์ธานี!I316"")"),0)</f>
        <v>0</v>
      </c>
      <c r="J421" s="398">
        <f ca="1">IFERROR(__xludf.DUMMYFUNCTION("IMPORTRANGE(""https://docs.google.com/spreadsheets/d/1IYY_tgx_IHuhSq3AJ5eI5OnqOPBNLWSHKh2a30DoXe8/edit?usp=sharing"",""สุราษฎร์ธานี!J316"")"),0)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IFERROR(__xludf.DUMMYFUNCTION("IMPORTRANGE(""https://docs.google.com/spreadsheets/d/1IYY_tgx_IHuhSq3AJ5eI5OnqOPBNLWSHKh2a30DoXe8/edit?usp=sharing"",""สุราษฎร์ธานี!I317"")"),0)</f>
        <v>0</v>
      </c>
      <c r="J422" s="399">
        <f ca="1">IFERROR(__xludf.DUMMYFUNCTION("IMPORTRANGE(""https://docs.google.com/spreadsheets/d/1IYY_tgx_IHuhSq3AJ5eI5OnqOPBNLWSHKh2a30DoXe8/edit?usp=sharing"",""สุราษฎร์ธานี!J317"")"),0)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IFERROR(__xludf.DUMMYFUNCTION("IMPORTRANGE(""https://docs.google.com/spreadsheets/d/1IYY_tgx_IHuhSq3AJ5eI5OnqOPBNLWSHKh2a30DoXe8/edit?usp=sharing"",""สุราษฎร์ธานี!I318"")"),0)</f>
        <v>0</v>
      </c>
      <c r="J423" s="400">
        <f ca="1">IFERROR(__xludf.DUMMYFUNCTION("IMPORTRANGE(""https://docs.google.com/spreadsheets/d/1IYY_tgx_IHuhSq3AJ5eI5OnqOPBNLWSHKh2a30DoXe8/edit?usp=sharing"",""สุราษฎร์ธานี!J318"")"),0)</f>
        <v>0</v>
      </c>
      <c r="K423" s="167">
        <f t="shared" ca="1" si="113"/>
        <v>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IFERROR(__xludf.DUMMYFUNCTION("IMPORTRANGE(""https://docs.google.com/spreadsheets/d/1IYY_tgx_IHuhSq3AJ5eI5OnqOPBNLWSHKh2a30DoXe8/edit?usp=sharing"",""สุราษฎร์ธานี!I319"")"),0)</f>
        <v>0</v>
      </c>
      <c r="J424" s="400">
        <f ca="1">IFERROR(__xludf.DUMMYFUNCTION("IMPORTRANGE(""https://docs.google.com/spreadsheets/d/1IYY_tgx_IHuhSq3AJ5eI5OnqOPBNLWSHKh2a30DoXe8/edit?usp=sharing"",""สุราษฎร์ธานี!J319"")"),0)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IFERROR(__xludf.DUMMYFUNCTION("IMPORTRANGE(""https://docs.google.com/spreadsheets/d/1IYY_tgx_IHuhSq3AJ5eI5OnqOPBNLWSHKh2a30DoXe8/edit?usp=sharing"",""สุราษฎร์ธานี!I320"")"),0)</f>
        <v>0</v>
      </c>
      <c r="J425" s="400">
        <f ca="1">IFERROR(__xludf.DUMMYFUNCTION("IMPORTRANGE(""https://docs.google.com/spreadsheets/d/1IYY_tgx_IHuhSq3AJ5eI5OnqOPBNLWSHKh2a30DoXe8/edit?usp=sharing"",""สุราษฎร์ธานี!J320"")"),0)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IFERROR(__xludf.DUMMYFUNCTION("IMPORTRANGE(""https://docs.google.com/spreadsheets/d/1IYY_tgx_IHuhSq3AJ5eI5OnqOPBNLWSHKh2a30DoXe8/edit?usp=sharing"",""สุราษฎร์ธานี!I321"")"),15)</f>
        <v>15</v>
      </c>
      <c r="J426" s="398">
        <f ca="1">IFERROR(__xludf.DUMMYFUNCTION("IMPORTRANGE(""https://docs.google.com/spreadsheets/d/1IYY_tgx_IHuhSq3AJ5eI5OnqOPBNLWSHKh2a30DoXe8/edit?usp=sharing"",""สุราษฎร์ธานี!J321"")"),15)</f>
        <v>15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IFERROR(__xludf.DUMMYFUNCTION("IMPORTRANGE(""https://docs.google.com/spreadsheets/d/1IYY_tgx_IHuhSq3AJ5eI5OnqOPBNLWSHKh2a30DoXe8/edit?usp=sharing"",""สุราษฎร์ธานี!I322"")"),45)</f>
        <v>45</v>
      </c>
      <c r="J427" s="399">
        <f ca="1">IFERROR(__xludf.DUMMYFUNCTION("IMPORTRANGE(""https://docs.google.com/spreadsheets/d/1IYY_tgx_IHuhSq3AJ5eI5OnqOPBNLWSHKh2a30DoXe8/edit?usp=sharing"",""สุราษฎร์ธานี!J322"")"),45)</f>
        <v>45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IFERROR(__xludf.DUMMYFUNCTION("IMPORTRANGE(""https://docs.google.com/spreadsheets/d/1IYY_tgx_IHuhSq3AJ5eI5OnqOPBNLWSHKh2a30DoXe8/edit?usp=sharing"",""สุราษฎร์ธานี!I323"")"),15)</f>
        <v>15</v>
      </c>
      <c r="J428" s="400">
        <f ca="1">IFERROR(__xludf.DUMMYFUNCTION("IMPORTRANGE(""https://docs.google.com/spreadsheets/d/1IYY_tgx_IHuhSq3AJ5eI5OnqOPBNLWSHKh2a30DoXe8/edit?usp=sharing"",""สุราษฎร์ธานี!J323"")"),15)</f>
        <v>15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IFERROR(__xludf.DUMMYFUNCTION("IMPORTRANGE(""https://docs.google.com/spreadsheets/d/1IYY_tgx_IHuhSq3AJ5eI5OnqOPBNLWSHKh2a30DoXe8/edit?usp=sharing"",""สุราษฎร์ธานี!I324"")"),15)</f>
        <v>15</v>
      </c>
      <c r="J429" s="400">
        <f ca="1">IFERROR(__xludf.DUMMYFUNCTION("IMPORTRANGE(""https://docs.google.com/spreadsheets/d/1IYY_tgx_IHuhSq3AJ5eI5OnqOPBNLWSHKh2a30DoXe8/edit?usp=sharing"",""สุราษฎร์ธานี!J324"")"),15)</f>
        <v>15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IFERROR(__xludf.DUMMYFUNCTION("IMPORTRANGE(""https://docs.google.com/spreadsheets/d/1IYY_tgx_IHuhSq3AJ5eI5OnqOPBNLWSHKh2a30DoXe8/edit?usp=sharing"",""สุราษฎร์ธานี!I325"")"),10)</f>
        <v>10</v>
      </c>
      <c r="J430" s="398">
        <f ca="1">IFERROR(__xludf.DUMMYFUNCTION("IMPORTRANGE(""https://docs.google.com/spreadsheets/d/1IYY_tgx_IHuhSq3AJ5eI5OnqOPBNLWSHKh2a30DoXe8/edit?usp=sharing"",""สุราษฎร์ธานี!J325"")"),0)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IFERROR(__xludf.DUMMYFUNCTION("IMPORTRANGE(""https://docs.google.com/spreadsheets/d/1IYY_tgx_IHuhSq3AJ5eI5OnqOPBNLWSHKh2a30DoXe8/edit?usp=sharing"",""สุราษฎร์ธานี!I326"")"),10)</f>
        <v>10</v>
      </c>
      <c r="J431" s="400">
        <f ca="1">IFERROR(__xludf.DUMMYFUNCTION("IMPORTRANGE(""https://docs.google.com/spreadsheets/d/1IYY_tgx_IHuhSq3AJ5eI5OnqOPBNLWSHKh2a30DoXe8/edit?usp=sharing"",""สุราษฎร์ธานี!J326"")"),0)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IFERROR(__xludf.DUMMYFUNCTION("IMPORTRANGE(""https://docs.google.com/spreadsheets/d/1IYY_tgx_IHuhSq3AJ5eI5OnqOPBNLWSHKh2a30DoXe8/edit?usp=sharing"",""สุราษฎร์ธานี!I327"")"),0)</f>
        <v>0</v>
      </c>
      <c r="J432" s="400">
        <f ca="1">IFERROR(__xludf.DUMMYFUNCTION("IMPORTRANGE(""https://docs.google.com/spreadsheets/d/1IYY_tgx_IHuhSq3AJ5eI5OnqOPBNLWSHKh2a30DoXe8/edit?usp=sharing"",""สุราษฎร์ธานี!J327"")"),0)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IFERROR(__xludf.DUMMYFUNCTION("IMPORTRANGE(""https://docs.google.com/spreadsheets/d/1IYY_tgx_IHuhSq3AJ5eI5OnqOPBNLWSHKh2a30DoXe8/edit?usp=sharing"",""สุราษฎร์ธานี!J328"")"),0)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IFERROR(__xludf.DUMMYFUNCTION("IMPORTRANGE(""https://docs.google.com/spreadsheets/d/1IYY_tgx_IHuhSq3AJ5eI5OnqOPBNLWSHKh2a30DoXe8/edit?usp=sharing"",""สุราษฎร์ธานี!J329"")"),0)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IFERROR(__xludf.DUMMYFUNCTION("IMPORTRANGE(""https://docs.google.com/spreadsheets/d/1IYY_tgx_IHuhSq3AJ5eI5OnqOPBNLWSHKh2a30DoXe8/edit?usp=sharing"",""สุราษฎร์ธานี!I330"")"),20)</f>
        <v>20</v>
      </c>
      <c r="J435" s="416">
        <f ca="1">IFERROR(__xludf.DUMMYFUNCTION("IMPORTRANGE(""https://docs.google.com/spreadsheets/d/1IYY_tgx_IHuhSq3AJ5eI5OnqOPBNLWSHKh2a30DoXe8/edit?usp=sharing"",""สุราษฎร์ธานี!J330"")"),20)</f>
        <v>20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IFERROR(__xludf.DUMMYFUNCTION("IMPORTRANGE(""https://docs.google.com/spreadsheets/d/1IYY_tgx_IHuhSq3AJ5eI5OnqOPBNLWSHKh2a30DoXe8/edit?usp=sharing"",""สุราษฎร์ธานี!L330"")"),100000)</f>
        <v>100000</v>
      </c>
      <c r="M435" s="418"/>
      <c r="N435" s="418">
        <f ca="1">IFERROR(__xludf.DUMMYFUNCTION("IMPORTRANGE(""https://docs.google.com/spreadsheets/d/1IYY_tgx_IHuhSq3AJ5eI5OnqOPBNLWSHKh2a30DoXe8/edit?usp=sharing"",""สุราษฎร์ธานี!M330"")"),61360)</f>
        <v>61360</v>
      </c>
      <c r="O435" s="418">
        <f t="shared" ref="O435:O439" ca="1" si="114">+IF(L435&gt;0,N435*100/L435,0)</f>
        <v>61.36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IFERROR(__xludf.DUMMYFUNCTION("IMPORTRANGE(""https://docs.google.com/spreadsheets/d/1IYY_tgx_IHuhSq3AJ5eI5OnqOPBNLWSHKh2a30DoXe8/edit?usp=sharing"",""สุราษฎร์ธานี!L331"")"),0)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IFERROR(__xludf.DUMMYFUNCTION("IMPORTRANGE(""https://docs.google.com/spreadsheets/d/1IYY_tgx_IHuhSq3AJ5eI5OnqOPBNLWSHKh2a30DoXe8/edit?usp=sharing"",""สุราษฎร์ธานี!M331"")"),0)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IFERROR(__xludf.DUMMYFUNCTION("IMPORTRANGE(""https://docs.google.com/spreadsheets/d/1IYY_tgx_IHuhSq3AJ5eI5OnqOPBNLWSHKh2a30DoXe8/edit?usp=sharing"",""สุราษฎร์ธานี!L332"")"),100000)</f>
        <v>100000</v>
      </c>
      <c r="M437" s="169"/>
      <c r="N437" s="175">
        <f ca="1">IFERROR(__xludf.DUMMYFUNCTION("IMPORTRANGE(""https://docs.google.com/spreadsheets/d/1IYY_tgx_IHuhSq3AJ5eI5OnqOPBNLWSHKh2a30DoXe8/edit?usp=sharing"",""สุราษฎร์ธานี!M332"")"),61360)</f>
        <v>61360</v>
      </c>
      <c r="O437" s="175">
        <f t="shared" ca="1" si="114"/>
        <v>61.36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IFERROR(__xludf.DUMMYFUNCTION("IMPORTRANGE(""https://docs.google.com/spreadsheets/d/1IYY_tgx_IHuhSq3AJ5eI5OnqOPBNLWSHKh2a30DoXe8/edit?usp=sharing"",""สุราษฎร์ธานี!L333"")"),0)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IFERROR(__xludf.DUMMYFUNCTION("IMPORTRANGE(""https://docs.google.com/spreadsheets/d/1IYY_tgx_IHuhSq3AJ5eI5OnqOPBNLWSHKh2a30DoXe8/edit?usp=sharing"",""สุราษฎร์ธานี!M333"")"),0)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IFERROR(__xludf.DUMMYFUNCTION("IMPORTRANGE(""https://docs.google.com/spreadsheets/d/1IYY_tgx_IHuhSq3AJ5eI5OnqOPBNLWSHKh2a30DoXe8/edit?usp=sharing"",""สุราษฎร์ธานี!L334"")"),100000)</f>
        <v>100000</v>
      </c>
      <c r="M439" s="175"/>
      <c r="N439" s="175">
        <f ca="1">IFERROR(__xludf.DUMMYFUNCTION("IMPORTRANGE(""https://docs.google.com/spreadsheets/d/1IYY_tgx_IHuhSq3AJ5eI5OnqOPBNLWSHKh2a30DoXe8/edit?usp=sharing"",""สุราษฎร์ธานี!M334"")"),61360)</f>
        <v>61360</v>
      </c>
      <c r="O439" s="175">
        <f t="shared" ca="1" si="114"/>
        <v>61.36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IFERROR(__xludf.DUMMYFUNCTION("IMPORTRANGE(""https://docs.google.com/spreadsheets/d/1IYY_tgx_IHuhSq3AJ5eI5OnqOPBNLWSHKh2a30DoXe8/edit?usp=sharing"",""สุราษฎร์ธานี!M335"")"),49200)</f>
        <v>49200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IFERROR(__xludf.DUMMYFUNCTION("IMPORTRANGE(""https://docs.google.com/spreadsheets/d/1IYY_tgx_IHuhSq3AJ5eI5OnqOPBNLWSHKh2a30DoXe8/edit?usp=sharing"",""สุราษฎร์ธานี!M336"")"),0)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IFERROR(__xludf.DUMMYFUNCTION("IMPORTRANGE(""https://docs.google.com/spreadsheets/d/1IYY_tgx_IHuhSq3AJ5eI5OnqOPBNLWSHKh2a30DoXe8/edit?usp=sharing"",""สุราษฎร์ธานี!M337"")"),0)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IFERROR(__xludf.DUMMYFUNCTION("IMPORTRANGE(""https://docs.google.com/spreadsheets/d/1IYY_tgx_IHuhSq3AJ5eI5OnqOPBNLWSHKh2a30DoXe8/edit?usp=sharing"",""สุราษฎร์ธานี!M338"")"),12160)</f>
        <v>12160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IFERROR(__xludf.DUMMYFUNCTION("IMPORTRANGE(""https://docs.google.com/spreadsheets/d/1IYY_tgx_IHuhSq3AJ5eI5OnqOPBNLWSHKh2a30DoXe8/edit?usp=sharing"",""สุราษฎร์ธานี!J340"")"),0)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IFERROR(__xludf.DUMMYFUNCTION("IMPORTRANGE(""https://docs.google.com/spreadsheets/d/1IYY_tgx_IHuhSq3AJ5eI5OnqOPBNLWSHKh2a30DoXe8/edit?usp=sharing"",""สุราษฎร์ธานี!J341"")"),1)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IFERROR(__xludf.DUMMYFUNCTION("IMPORTRANGE(""https://docs.google.com/spreadsheets/d/1IYY_tgx_IHuhSq3AJ5eI5OnqOPBNLWSHKh2a30DoXe8/edit?usp=sharing"",""สุราษฎร์ธานี!J342"")"),1)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IFERROR(__xludf.DUMMYFUNCTION("IMPORTRANGE(""https://docs.google.com/spreadsheets/d/1IYY_tgx_IHuhSq3AJ5eI5OnqOPBNLWSHKh2a30DoXe8/edit?usp=sharing"",""สุราษฎร์ธานี!J343"")"),1)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IFERROR(__xludf.DUMMYFUNCTION("IMPORTRANGE(""https://docs.google.com/spreadsheets/d/1IYY_tgx_IHuhSq3AJ5eI5OnqOPBNLWSHKh2a30DoXe8/edit?usp=sharing"",""สุราษฎร์ธานี!I344"")"),20)</f>
        <v>20</v>
      </c>
      <c r="J449" s="207">
        <f ca="1">IFERROR(__xludf.DUMMYFUNCTION("IMPORTRANGE(""https://docs.google.com/spreadsheets/d/1IYY_tgx_IHuhSq3AJ5eI5OnqOPBNLWSHKh2a30DoXe8/edit?usp=sharing"",""สุราษฎร์ธานี!J344"")"),20)</f>
        <v>20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IFERROR(__xludf.DUMMYFUNCTION("IMPORTRANGE(""https://docs.google.com/spreadsheets/d/1IYY_tgx_IHuhSq3AJ5eI5OnqOPBNLWSHKh2a30DoXe8/edit?usp=sharing"",""สุราษฎร์ธานี!I345"")"),20)</f>
        <v>20</v>
      </c>
      <c r="J450" s="195">
        <f ca="1">IFERROR(__xludf.DUMMYFUNCTION("IMPORTRANGE(""https://docs.google.com/spreadsheets/d/1IYY_tgx_IHuhSq3AJ5eI5OnqOPBNLWSHKh2a30DoXe8/edit?usp=sharing"",""สุราษฎร์ธานี!J345"")"),20)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IFERROR(__xludf.DUMMYFUNCTION("IMPORTRANGE(""https://docs.google.com/spreadsheets/d/1IYY_tgx_IHuhSq3AJ5eI5OnqOPBNLWSHKh2a30DoXe8/edit?usp=sharing"",""สุราษฎร์ธานี!I346"")"),0)</f>
        <v>0</v>
      </c>
      <c r="J451" s="194">
        <f ca="1">IFERROR(__xludf.DUMMYFUNCTION("IMPORTRANGE(""https://docs.google.com/spreadsheets/d/1IYY_tgx_IHuhSq3AJ5eI5OnqOPBNLWSHKh2a30DoXe8/edit?usp=sharing"",""สุราษฎร์ธานี!J346"")"),0)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IFERROR(__xludf.DUMMYFUNCTION("IMPORTRANGE(""https://docs.google.com/spreadsheets/d/1IYY_tgx_IHuhSq3AJ5eI5OnqOPBNLWSHKh2a30DoXe8/edit?usp=sharing"",""สุราษฎร์ธานี!I347"")"),0)</f>
        <v>0</v>
      </c>
      <c r="J452" s="194">
        <f ca="1">IFERROR(__xludf.DUMMYFUNCTION("IMPORTRANGE(""https://docs.google.com/spreadsheets/d/1IYY_tgx_IHuhSq3AJ5eI5OnqOPBNLWSHKh2a30DoXe8/edit?usp=sharing"",""สุราษฎร์ธานี!J347"")"),0)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IFERROR(__xludf.DUMMYFUNCTION("IMPORTRANGE(""https://docs.google.com/spreadsheets/d/1IYY_tgx_IHuhSq3AJ5eI5OnqOPBNLWSHKh2a30DoXe8/edit?usp=sharing"",""สุราษฎร์ธานี!J348"")"),0)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IFERROR(__xludf.DUMMYFUNCTION("IMPORTRANGE(""https://docs.google.com/spreadsheets/d/1IYY_tgx_IHuhSq3AJ5eI5OnqOPBNLWSHKh2a30DoXe8/edit?usp=sharing"",""สุราษฎร์ธานี!J349"")"),0)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IFERROR(__xludf.DUMMYFUNCTION("IMPORTRANGE(""https://docs.google.com/spreadsheets/d/1IYY_tgx_IHuhSq3AJ5eI5OnqOPBNLWSHKh2a30DoXe8/edit?usp=sharing"",""สุราษฎร์ธานี!I350"")"),151732)</f>
        <v>151732</v>
      </c>
      <c r="J455" s="377">
        <f ca="1">IFERROR(__xludf.DUMMYFUNCTION("IMPORTRANGE(""https://docs.google.com/spreadsheets/d/1IYY_tgx_IHuhSq3AJ5eI5OnqOPBNLWSHKh2a30DoXe8/edit?usp=sharing"",""สุราษฎร์ธานี!J350"")"),151732)</f>
        <v>151732</v>
      </c>
      <c r="K455" s="378">
        <f ca="1">IF(I455&gt;0,J455*100/I455,0)</f>
        <v>100</v>
      </c>
      <c r="L455" s="379">
        <f ca="1">IFERROR(__xludf.DUMMYFUNCTION("IMPORTRANGE(""https://docs.google.com/spreadsheets/d/1IYY_tgx_IHuhSq3AJ5eI5OnqOPBNLWSHKh2a30DoXe8/edit?usp=sharing"",""สุราษฎร์ธานี!L350"")"),1026098.2)</f>
        <v>1026098.2</v>
      </c>
      <c r="M455" s="379"/>
      <c r="N455" s="379">
        <f ca="1">IFERROR(__xludf.DUMMYFUNCTION("IMPORTRANGE(""https://docs.google.com/spreadsheets/d/1IYY_tgx_IHuhSq3AJ5eI5OnqOPBNLWSHKh2a30DoXe8/edit?usp=sharing"",""สุราษฎร์ธานี!M350"")"),154936.99)</f>
        <v>154936.99</v>
      </c>
      <c r="O455" s="379">
        <f t="shared" ref="O455:O459" ca="1" si="116">+IF(L455&gt;0,N455*100/L455,0)</f>
        <v>15.099625942234379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IFERROR(__xludf.DUMMYFUNCTION("IMPORTRANGE(""https://docs.google.com/spreadsheets/d/1IYY_tgx_IHuhSq3AJ5eI5OnqOPBNLWSHKh2a30DoXe8/edit?usp=sharing"",""สุราษฎร์ธานี!L351"")"),0)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IFERROR(__xludf.DUMMYFUNCTION("IMPORTRANGE(""https://docs.google.com/spreadsheets/d/1IYY_tgx_IHuhSq3AJ5eI5OnqOPBNLWSHKh2a30DoXe8/edit?usp=sharing"",""สุราษฎร์ธานี!M351"")"),0)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IFERROR(__xludf.DUMMYFUNCTION("IMPORTRANGE(""https://docs.google.com/spreadsheets/d/1IYY_tgx_IHuhSq3AJ5eI5OnqOPBNLWSHKh2a30DoXe8/edit?usp=sharing"",""สุราษฎร์ธานี!L352"")"),1026098.2)</f>
        <v>1026098.2</v>
      </c>
      <c r="M457" s="169"/>
      <c r="N457" s="175">
        <f ca="1">IFERROR(__xludf.DUMMYFUNCTION("IMPORTRANGE(""https://docs.google.com/spreadsheets/d/1IYY_tgx_IHuhSq3AJ5eI5OnqOPBNLWSHKh2a30DoXe8/edit?usp=sharing"",""สุราษฎร์ธานี!M352"")"),154936.99)</f>
        <v>154936.99</v>
      </c>
      <c r="O457" s="175">
        <f t="shared" ca="1" si="116"/>
        <v>15.099625942234379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IFERROR(__xludf.DUMMYFUNCTION("IMPORTRANGE(""https://docs.google.com/spreadsheets/d/1IYY_tgx_IHuhSq3AJ5eI5OnqOPBNLWSHKh2a30DoXe8/edit?usp=sharing"",""สุราษฎร์ธานี!L353"")"),0)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IFERROR(__xludf.DUMMYFUNCTION("IMPORTRANGE(""https://docs.google.com/spreadsheets/d/1IYY_tgx_IHuhSq3AJ5eI5OnqOPBNLWSHKh2a30DoXe8/edit?usp=sharing"",""สุราษฎร์ธานี!M353"")"),0)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IFERROR(__xludf.DUMMYFUNCTION("IMPORTRANGE(""https://docs.google.com/spreadsheets/d/1IYY_tgx_IHuhSq3AJ5eI5OnqOPBNLWSHKh2a30DoXe8/edit?usp=sharing"",""สุราษฎร์ธานี!L354"")"),1026098.2)</f>
        <v>1026098.2</v>
      </c>
      <c r="M459" s="175"/>
      <c r="N459" s="175">
        <f ca="1">IFERROR(__xludf.DUMMYFUNCTION("IMPORTRANGE(""https://docs.google.com/spreadsheets/d/1IYY_tgx_IHuhSq3AJ5eI5OnqOPBNLWSHKh2a30DoXe8/edit?usp=sharing"",""สุราษฎร์ธานี!M354"")"),154936.99)</f>
        <v>154936.99</v>
      </c>
      <c r="O459" s="175">
        <f t="shared" ca="1" si="116"/>
        <v>15.099625942234379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IFERROR(__xludf.DUMMYFUNCTION("IMPORTRANGE(""https://docs.google.com/spreadsheets/d/1IYY_tgx_IHuhSq3AJ5eI5OnqOPBNLWSHKh2a30DoXe8/edit?usp=sharing"",""สุราษฎร์ธานี!M355"")"),0)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IFERROR(__xludf.DUMMYFUNCTION("IMPORTRANGE(""https://docs.google.com/spreadsheets/d/1IYY_tgx_IHuhSq3AJ5eI5OnqOPBNLWSHKh2a30DoXe8/edit?usp=sharing"",""สุราษฎร์ธานี!M356"")"),0)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IFERROR(__xludf.DUMMYFUNCTION("IMPORTRANGE(""https://docs.google.com/spreadsheets/d/1IYY_tgx_IHuhSq3AJ5eI5OnqOPBNLWSHKh2a30DoXe8/edit?usp=sharing"",""สุราษฎร์ธานี!M357"")"),71541.9899999999)</f>
        <v>71541.989999999903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IFERROR(__xludf.DUMMYFUNCTION("IMPORTRANGE(""https://docs.google.com/spreadsheets/d/1IYY_tgx_IHuhSq3AJ5eI5OnqOPBNLWSHKh2a30DoXe8/edit?usp=sharing"",""สุราษฎร์ธานี!M358"")"),83395)</f>
        <v>83395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IFERROR(__xludf.DUMMYFUNCTION("IMPORTRANGE(""https://docs.google.com/spreadsheets/d/1IYY_tgx_IHuhSq3AJ5eI5OnqOPBNLWSHKh2a30DoXe8/edit?usp=sharing"",""สุราษฎร์ธานี!I359"")"),151732)</f>
        <v>151732</v>
      </c>
      <c r="J464" s="273">
        <f ca="1">IFERROR(__xludf.DUMMYFUNCTION("IMPORTRANGE(""https://docs.google.com/spreadsheets/d/1IYY_tgx_IHuhSq3AJ5eI5OnqOPBNLWSHKh2a30DoXe8/edit?usp=sharing"",""สุราษฎร์ธานี!J359"")"),151732)</f>
        <v>151732</v>
      </c>
      <c r="K464" s="274">
        <f t="shared" ref="K464:K515" ca="1" si="117">IF(I464&gt;0,J464*100/I464,0)</f>
        <v>100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IFERROR(__xludf.DUMMYFUNCTION("IMPORTRANGE(""https://docs.google.com/spreadsheets/d/1IYY_tgx_IHuhSq3AJ5eI5OnqOPBNLWSHKh2a30DoXe8/edit?usp=sharing"",""สุราษฎร์ธานี!I360"")"),151732)</f>
        <v>151732</v>
      </c>
      <c r="J465" s="426">
        <f ca="1">IFERROR(__xludf.DUMMYFUNCTION("IMPORTRANGE(""https://docs.google.com/spreadsheets/d/1IYY_tgx_IHuhSq3AJ5eI5OnqOPBNLWSHKh2a30DoXe8/edit?usp=sharing"",""สุราษฎร์ธานี!J360"")"),151732)</f>
        <v>151732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IFERROR(__xludf.DUMMYFUNCTION("IMPORTRANGE(""https://docs.google.com/spreadsheets/d/1IYY_tgx_IHuhSq3AJ5eI5OnqOPBNLWSHKh2a30DoXe8/edit?usp=sharing"",""สุราษฎร์ธานี!I361"")"),11860)</f>
        <v>11860</v>
      </c>
      <c r="J466" s="426">
        <f ca="1">IFERROR(__xludf.DUMMYFUNCTION("IMPORTRANGE(""https://docs.google.com/spreadsheets/d/1IYY_tgx_IHuhSq3AJ5eI5OnqOPBNLWSHKh2a30DoXe8/edit?usp=sharing"",""สุราษฎร์ธานี!J361"")"),11860)</f>
        <v>11860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IFERROR(__xludf.DUMMYFUNCTION("IMPORTRANGE(""https://docs.google.com/spreadsheets/d/1IYY_tgx_IHuhSq3AJ5eI5OnqOPBNLWSHKh2a30DoXe8/edit?usp=sharing"",""สุราษฎร์ธานี!I362"")"),0)</f>
        <v>0</v>
      </c>
      <c r="J467" s="195">
        <f ca="1">IFERROR(__xludf.DUMMYFUNCTION("IMPORTRANGE(""https://docs.google.com/spreadsheets/d/1IYY_tgx_IHuhSq3AJ5eI5OnqOPBNLWSHKh2a30DoXe8/edit?usp=sharing"",""สุราษฎร์ธานี!J362"")"),124821)</f>
        <v>124821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IFERROR(__xludf.DUMMYFUNCTION("IMPORTRANGE(""https://docs.google.com/spreadsheets/d/1IYY_tgx_IHuhSq3AJ5eI5OnqOPBNLWSHKh2a30DoXe8/edit?usp=sharing"",""สุราษฎร์ธานี!I363"")"),0)</f>
        <v>0</v>
      </c>
      <c r="J468" s="195">
        <f ca="1">IFERROR(__xludf.DUMMYFUNCTION("IMPORTRANGE(""https://docs.google.com/spreadsheets/d/1IYY_tgx_IHuhSq3AJ5eI5OnqOPBNLWSHKh2a30DoXe8/edit?usp=sharing"",""สุราษฎร์ธานี!J363"")"),10053)</f>
        <v>10053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IFERROR(__xludf.DUMMYFUNCTION("IMPORTRANGE(""https://docs.google.com/spreadsheets/d/1IYY_tgx_IHuhSq3AJ5eI5OnqOPBNLWSHKh2a30DoXe8/edit?usp=sharing"",""สุราษฎร์ธานี!I364"")"),0)</f>
        <v>0</v>
      </c>
      <c r="J469" s="195">
        <f ca="1">IFERROR(__xludf.DUMMYFUNCTION("IMPORTRANGE(""https://docs.google.com/spreadsheets/d/1IYY_tgx_IHuhSq3AJ5eI5OnqOPBNLWSHKh2a30DoXe8/edit?usp=sharing"",""สุราษฎร์ธานี!J364"")"),25562)</f>
        <v>25562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IFERROR(__xludf.DUMMYFUNCTION("IMPORTRANGE(""https://docs.google.com/spreadsheets/d/1IYY_tgx_IHuhSq3AJ5eI5OnqOPBNLWSHKh2a30DoXe8/edit?usp=sharing"",""สุราษฎร์ธานี!I365"")"),0)</f>
        <v>0</v>
      </c>
      <c r="J470" s="195">
        <f ca="1">IFERROR(__xludf.DUMMYFUNCTION("IMPORTRANGE(""https://docs.google.com/spreadsheets/d/1IYY_tgx_IHuhSq3AJ5eI5OnqOPBNLWSHKh2a30DoXe8/edit?usp=sharing"",""สุราษฎร์ธานี!J365"")"),1694)</f>
        <v>1694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IFERROR(__xludf.DUMMYFUNCTION("IMPORTRANGE(""https://docs.google.com/spreadsheets/d/1IYY_tgx_IHuhSq3AJ5eI5OnqOPBNLWSHKh2a30DoXe8/edit?usp=sharing"",""สุราษฎร์ธานี!I366"")"),0)</f>
        <v>0</v>
      </c>
      <c r="J471" s="195">
        <f ca="1">IFERROR(__xludf.DUMMYFUNCTION("IMPORTRANGE(""https://docs.google.com/spreadsheets/d/1IYY_tgx_IHuhSq3AJ5eI5OnqOPBNLWSHKh2a30DoXe8/edit?usp=sharing"",""สุราษฎร์ธานี!J366"")"),1349)</f>
        <v>1349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IFERROR(__xludf.DUMMYFUNCTION("IMPORTRANGE(""https://docs.google.com/spreadsheets/d/1IYY_tgx_IHuhSq3AJ5eI5OnqOPBNLWSHKh2a30DoXe8/edit?usp=sharing"",""สุราษฎร์ธานี!I367"")"),0)</f>
        <v>0</v>
      </c>
      <c r="J472" s="195">
        <f ca="1">IFERROR(__xludf.DUMMYFUNCTION("IMPORTRANGE(""https://docs.google.com/spreadsheets/d/1IYY_tgx_IHuhSq3AJ5eI5OnqOPBNLWSHKh2a30DoXe8/edit?usp=sharing"",""สุราษฎร์ธานี!J367"")"),113)</f>
        <v>113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IFERROR(__xludf.DUMMYFUNCTION("IMPORTRANGE(""https://docs.google.com/spreadsheets/d/1IYY_tgx_IHuhSq3AJ5eI5OnqOPBNLWSHKh2a30DoXe8/edit?usp=sharing"",""สุราษฎร์ธานี!I368"")"),151732)</f>
        <v>151732</v>
      </c>
      <c r="J473" s="426">
        <f ca="1">IFERROR(__xludf.DUMMYFUNCTION("IMPORTRANGE(""https://docs.google.com/spreadsheets/d/1IYY_tgx_IHuhSq3AJ5eI5OnqOPBNLWSHKh2a30DoXe8/edit?usp=sharing"",""สุราษฎร์ธานี!J368"")"),151732)</f>
        <v>151732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IFERROR(__xludf.DUMMYFUNCTION("IMPORTRANGE(""https://docs.google.com/spreadsheets/d/1IYY_tgx_IHuhSq3AJ5eI5OnqOPBNLWSHKh2a30DoXe8/edit?usp=sharing"",""สุราษฎร์ธานี!I369"")"),11860)</f>
        <v>11860</v>
      </c>
      <c r="J474" s="426">
        <f ca="1">IFERROR(__xludf.DUMMYFUNCTION("IMPORTRANGE(""https://docs.google.com/spreadsheets/d/1IYY_tgx_IHuhSq3AJ5eI5OnqOPBNLWSHKh2a30DoXe8/edit?usp=sharing"",""สุราษฎร์ธานี!J369"")"),11860)</f>
        <v>11860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IFERROR(__xludf.DUMMYFUNCTION("IMPORTRANGE(""https://docs.google.com/spreadsheets/d/1IYY_tgx_IHuhSq3AJ5eI5OnqOPBNLWSHKh2a30DoXe8/edit?usp=sharing"",""สุราษฎร์ธานี!I370"")"),0)</f>
        <v>0</v>
      </c>
      <c r="J475" s="195">
        <f ca="1">IFERROR(__xludf.DUMMYFUNCTION("IMPORTRANGE(""https://docs.google.com/spreadsheets/d/1IYY_tgx_IHuhSq3AJ5eI5OnqOPBNLWSHKh2a30DoXe8/edit?usp=sharing"",""สุราษฎร์ธานี!J370"")"),147099)</f>
        <v>147099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IFERROR(__xludf.DUMMYFUNCTION("IMPORTRANGE(""https://docs.google.com/spreadsheets/d/1IYY_tgx_IHuhSq3AJ5eI5OnqOPBNLWSHKh2a30DoXe8/edit?usp=sharing"",""สุราษฎร์ธานี!I371"")"),0)</f>
        <v>0</v>
      </c>
      <c r="J476" s="195">
        <f ca="1">IFERROR(__xludf.DUMMYFUNCTION("IMPORTRANGE(""https://docs.google.com/spreadsheets/d/1IYY_tgx_IHuhSq3AJ5eI5OnqOPBNLWSHKh2a30DoXe8/edit?usp=sharing"",""สุราษฎร์ธานี!J371"")"),11433)</f>
        <v>11433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IFERROR(__xludf.DUMMYFUNCTION("IMPORTRANGE(""https://docs.google.com/spreadsheets/d/1IYY_tgx_IHuhSq3AJ5eI5OnqOPBNLWSHKh2a30DoXe8/edit?usp=sharing"",""สุราษฎร์ธานี!I372"")"),0)</f>
        <v>0</v>
      </c>
      <c r="J477" s="195">
        <f ca="1">IFERROR(__xludf.DUMMYFUNCTION("IMPORTRANGE(""https://docs.google.com/spreadsheets/d/1IYY_tgx_IHuhSq3AJ5eI5OnqOPBNLWSHKh2a30DoXe8/edit?usp=sharing"",""สุราษฎร์ธานี!J372"")"),3241)</f>
        <v>3241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IFERROR(__xludf.DUMMYFUNCTION("IMPORTRANGE(""https://docs.google.com/spreadsheets/d/1IYY_tgx_IHuhSq3AJ5eI5OnqOPBNLWSHKh2a30DoXe8/edit?usp=sharing"",""สุราษฎร์ธานี!I373"")"),0)</f>
        <v>0</v>
      </c>
      <c r="J478" s="195">
        <f ca="1">IFERROR(__xludf.DUMMYFUNCTION("IMPORTRANGE(""https://docs.google.com/spreadsheets/d/1IYY_tgx_IHuhSq3AJ5eI5OnqOPBNLWSHKh2a30DoXe8/edit?usp=sharing"",""สุราษฎร์ธานี!J373"")"),311)</f>
        <v>311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IFERROR(__xludf.DUMMYFUNCTION("IMPORTRANGE(""https://docs.google.com/spreadsheets/d/1IYY_tgx_IHuhSq3AJ5eI5OnqOPBNLWSHKh2a30DoXe8/edit?usp=sharing"",""สุราษฎร์ธานี!I374"")"),0)</f>
        <v>0</v>
      </c>
      <c r="J479" s="195">
        <f ca="1">IFERROR(__xludf.DUMMYFUNCTION("IMPORTRANGE(""https://docs.google.com/spreadsheets/d/1IYY_tgx_IHuhSq3AJ5eI5OnqOPBNLWSHKh2a30DoXe8/edit?usp=sharing"",""สุราษฎร์ธานี!J374"")"),1392)</f>
        <v>1392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IFERROR(__xludf.DUMMYFUNCTION("IMPORTRANGE(""https://docs.google.com/spreadsheets/d/1IYY_tgx_IHuhSq3AJ5eI5OnqOPBNLWSHKh2a30DoXe8/edit?usp=sharing"",""สุราษฎร์ธานี!I375"")"),0)</f>
        <v>0</v>
      </c>
      <c r="J480" s="195">
        <f ca="1">IFERROR(__xludf.DUMMYFUNCTION("IMPORTRANGE(""https://docs.google.com/spreadsheets/d/1IYY_tgx_IHuhSq3AJ5eI5OnqOPBNLWSHKh2a30DoXe8/edit?usp=sharing"",""สุราษฎร์ธานี!J375"")"),116)</f>
        <v>116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IFERROR(__xludf.DUMMYFUNCTION("IMPORTRANGE(""https://docs.google.com/spreadsheets/d/1IYY_tgx_IHuhSq3AJ5eI5OnqOPBNLWSHKh2a30DoXe8/edit?usp=sharing"",""สุราษฎร์ธานี!I376"")"),151732)</f>
        <v>151732</v>
      </c>
      <c r="J481" s="426">
        <f ca="1">IFERROR(__xludf.DUMMYFUNCTION("IMPORTRANGE(""https://docs.google.com/spreadsheets/d/1IYY_tgx_IHuhSq3AJ5eI5OnqOPBNLWSHKh2a30DoXe8/edit?usp=sharing"",""สุราษฎร์ธานี!J376"")"),151732)</f>
        <v>151732</v>
      </c>
      <c r="K481" s="208">
        <f t="shared" ca="1" si="117"/>
        <v>100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IFERROR(__xludf.DUMMYFUNCTION("IMPORTRANGE(""https://docs.google.com/spreadsheets/d/1IYY_tgx_IHuhSq3AJ5eI5OnqOPBNLWSHKh2a30DoXe8/edit?usp=sharing"",""สุราษฎร์ธานี!I377"")"),11860)</f>
        <v>11860</v>
      </c>
      <c r="J482" s="426">
        <f ca="1">IFERROR(__xludf.DUMMYFUNCTION("IMPORTRANGE(""https://docs.google.com/spreadsheets/d/1IYY_tgx_IHuhSq3AJ5eI5OnqOPBNLWSHKh2a30DoXe8/edit?usp=sharing"",""สุราษฎร์ธานี!J377"")"),11860)</f>
        <v>11860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IFERROR(__xludf.DUMMYFUNCTION("IMPORTRANGE(""https://docs.google.com/spreadsheets/d/1IYY_tgx_IHuhSq3AJ5eI5OnqOPBNLWSHKh2a30DoXe8/edit?usp=sharing"",""สุราษฎร์ธานี!I378"")"),0)</f>
        <v>0</v>
      </c>
      <c r="J483" s="195">
        <f ca="1">IFERROR(__xludf.DUMMYFUNCTION("IMPORTRANGE(""https://docs.google.com/spreadsheets/d/1IYY_tgx_IHuhSq3AJ5eI5OnqOPBNLWSHKh2a30DoXe8/edit?usp=sharing"",""สุราษฎร์ธานี!J378"")"),125062)</f>
        <v>125062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IFERROR(__xludf.DUMMYFUNCTION("IMPORTRANGE(""https://docs.google.com/spreadsheets/d/1IYY_tgx_IHuhSq3AJ5eI5OnqOPBNLWSHKh2a30DoXe8/edit?usp=sharing"",""สุราษฎร์ธานี!I379"")"),0)</f>
        <v>0</v>
      </c>
      <c r="J484" s="195">
        <f ca="1">IFERROR(__xludf.DUMMYFUNCTION("IMPORTRANGE(""https://docs.google.com/spreadsheets/d/1IYY_tgx_IHuhSq3AJ5eI5OnqOPBNLWSHKh2a30DoXe8/edit?usp=sharing"",""สุราษฎร์ธานี!J379"")"),10038)</f>
        <v>10038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IFERROR(__xludf.DUMMYFUNCTION("IMPORTRANGE(""https://docs.google.com/spreadsheets/d/1IYY_tgx_IHuhSq3AJ5eI5OnqOPBNLWSHKh2a30DoXe8/edit?usp=sharing"",""สุราษฎร์ธานี!I380"")"),0)</f>
        <v>0</v>
      </c>
      <c r="J485" s="195">
        <f ca="1">IFERROR(__xludf.DUMMYFUNCTION("IMPORTRANGE(""https://docs.google.com/spreadsheets/d/1IYY_tgx_IHuhSq3AJ5eI5OnqOPBNLWSHKh2a30DoXe8/edit?usp=sharing"",""สุราษฎร์ธานี!J380"")"),25278)</f>
        <v>25278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IFERROR(__xludf.DUMMYFUNCTION("IMPORTRANGE(""https://docs.google.com/spreadsheets/d/1IYY_tgx_IHuhSq3AJ5eI5OnqOPBNLWSHKh2a30DoXe8/edit?usp=sharing"",""สุราษฎร์ธานี!I381"")"),0)</f>
        <v>0</v>
      </c>
      <c r="J486" s="195">
        <f ca="1">IFERROR(__xludf.DUMMYFUNCTION("IMPORTRANGE(""https://docs.google.com/spreadsheets/d/1IYY_tgx_IHuhSq3AJ5eI5OnqOPBNLWSHKh2a30DoXe8/edit?usp=sharing"",""สุราษฎร์ธานี!J381"")"),1706)</f>
        <v>1706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IFERROR(__xludf.DUMMYFUNCTION("IMPORTRANGE(""https://docs.google.com/spreadsheets/d/1IYY_tgx_IHuhSq3AJ5eI5OnqOPBNLWSHKh2a30DoXe8/edit?usp=sharing"",""สุราษฎร์ธานี!I382"")"),0)</f>
        <v>0</v>
      </c>
      <c r="J487" s="426">
        <f ca="1">IFERROR(__xludf.DUMMYFUNCTION("IMPORTRANGE(""https://docs.google.com/spreadsheets/d/1IYY_tgx_IHuhSq3AJ5eI5OnqOPBNLWSHKh2a30DoXe8/edit?usp=sharing"",""สุราษฎร์ธานี!J382"")"),1392)</f>
        <v>1392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IFERROR(__xludf.DUMMYFUNCTION("IMPORTRANGE(""https://docs.google.com/spreadsheets/d/1IYY_tgx_IHuhSq3AJ5eI5OnqOPBNLWSHKh2a30DoXe8/edit?usp=sharing"",""สุราษฎร์ธานี!I383"")"),0)</f>
        <v>0</v>
      </c>
      <c r="J488" s="426">
        <f ca="1">IFERROR(__xludf.DUMMYFUNCTION("IMPORTRANGE(""https://docs.google.com/spreadsheets/d/1IYY_tgx_IHuhSq3AJ5eI5OnqOPBNLWSHKh2a30DoXe8/edit?usp=sharing"",""สุราษฎร์ธานี!J383"")"),116)</f>
        <v>116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IFERROR(__xludf.DUMMYFUNCTION("IMPORTRANGE(""https://docs.google.com/spreadsheets/d/1IYY_tgx_IHuhSq3AJ5eI5OnqOPBNLWSHKh2a30DoXe8/edit?usp=sharing"",""สุราษฎร์ธานี!I384"")"),0)</f>
        <v>0</v>
      </c>
      <c r="J489" s="195">
        <f ca="1">IFERROR(__xludf.DUMMYFUNCTION("IMPORTRANGE(""https://docs.google.com/spreadsheets/d/1IYY_tgx_IHuhSq3AJ5eI5OnqOPBNLWSHKh2a30DoXe8/edit?usp=sharing"",""สุราษฎร์ธานี!J384"")"),1339)</f>
        <v>1339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IFERROR(__xludf.DUMMYFUNCTION("IMPORTRANGE(""https://docs.google.com/spreadsheets/d/1IYY_tgx_IHuhSq3AJ5eI5OnqOPBNLWSHKh2a30DoXe8/edit?usp=sharing"",""สุราษฎร์ธานี!I385"")"),0)</f>
        <v>0</v>
      </c>
      <c r="J490" s="195">
        <f ca="1">IFERROR(__xludf.DUMMYFUNCTION("IMPORTRANGE(""https://docs.google.com/spreadsheets/d/1IYY_tgx_IHuhSq3AJ5eI5OnqOPBNLWSHKh2a30DoXe8/edit?usp=sharing"",""สุราษฎร์ธานี!J385"")"),111)</f>
        <v>111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IFERROR(__xludf.DUMMYFUNCTION("IMPORTRANGE(""https://docs.google.com/spreadsheets/d/1IYY_tgx_IHuhSq3AJ5eI5OnqOPBNLWSHKh2a30DoXe8/edit?usp=sharing"",""สุราษฎร์ธานี!I386"")"),0)</f>
        <v>0</v>
      </c>
      <c r="J491" s="195">
        <f ca="1">IFERROR(__xludf.DUMMYFUNCTION("IMPORTRANGE(""https://docs.google.com/spreadsheets/d/1IYY_tgx_IHuhSq3AJ5eI5OnqOPBNLWSHKh2a30DoXe8/edit?usp=sharing"",""สุราษฎร์ธานี!J386"")"),53)</f>
        <v>53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IFERROR(__xludf.DUMMYFUNCTION("IMPORTRANGE(""https://docs.google.com/spreadsheets/d/1IYY_tgx_IHuhSq3AJ5eI5OnqOPBNLWSHKh2a30DoXe8/edit?usp=sharing"",""สุราษฎร์ธานี!I387"")"),0)</f>
        <v>0</v>
      </c>
      <c r="J492" s="195">
        <f ca="1">IFERROR(__xludf.DUMMYFUNCTION("IMPORTRANGE(""https://docs.google.com/spreadsheets/d/1IYY_tgx_IHuhSq3AJ5eI5OnqOPBNLWSHKh2a30DoXe8/edit?usp=sharing"",""สุราษฎร์ธานี!J387"")"),5)</f>
        <v>5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IFERROR(__xludf.DUMMYFUNCTION("IMPORTRANGE(""https://docs.google.com/spreadsheets/d/1IYY_tgx_IHuhSq3AJ5eI5OnqOPBNLWSHKh2a30DoXe8/edit?usp=sharing"",""สุราษฎร์ธานี!I388"")"),0)</f>
        <v>0</v>
      </c>
      <c r="J493" s="195">
        <f ca="1">IFERROR(__xludf.DUMMYFUNCTION("IMPORTRANGE(""https://docs.google.com/spreadsheets/d/1IYY_tgx_IHuhSq3AJ5eI5OnqOPBNLWSHKh2a30DoXe8/edit?usp=sharing"",""สุราษฎร์ธานี!J388"")"),0)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IFERROR(__xludf.DUMMYFUNCTION("IMPORTRANGE(""https://docs.google.com/spreadsheets/d/1IYY_tgx_IHuhSq3AJ5eI5OnqOPBNLWSHKh2a30DoXe8/edit?usp=sharing"",""สุราษฎร์ธานี!I389"")"),0)</f>
        <v>0</v>
      </c>
      <c r="J494" s="442">
        <f ca="1">IFERROR(__xludf.DUMMYFUNCTION("IMPORTRANGE(""https://docs.google.com/spreadsheets/d/1IYY_tgx_IHuhSq3AJ5eI5OnqOPBNLWSHKh2a30DoXe8/edit?usp=sharing"",""สุราษฎร์ธานี!J389"")"),0)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IFERROR(__xludf.DUMMYFUNCTION("IMPORTRANGE(""https://docs.google.com/spreadsheets/d/1IYY_tgx_IHuhSq3AJ5eI5OnqOPBNLWSHKh2a30DoXe8/edit?usp=sharing"",""สุราษฎร์ธานี!I390"")"),0)</f>
        <v>0</v>
      </c>
      <c r="J495" s="442">
        <f ca="1">IFERROR(__xludf.DUMMYFUNCTION("IMPORTRANGE(""https://docs.google.com/spreadsheets/d/1IYY_tgx_IHuhSq3AJ5eI5OnqOPBNLWSHKh2a30DoXe8/edit?usp=sharing"",""สุราษฎร์ธานี!J390"")"),0)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IFERROR(__xludf.DUMMYFUNCTION("IMPORTRANGE(""https://docs.google.com/spreadsheets/d/1IYY_tgx_IHuhSq3AJ5eI5OnqOPBNLWSHKh2a30DoXe8/edit?usp=sharing"",""สุราษฎร์ธานี!I391"")"),0)</f>
        <v>0</v>
      </c>
      <c r="J496" s="442">
        <f ca="1">IFERROR(__xludf.DUMMYFUNCTION("IMPORTRANGE(""https://docs.google.com/spreadsheets/d/1IYY_tgx_IHuhSq3AJ5eI5OnqOPBNLWSHKh2a30DoXe8/edit?usp=sharing"",""สุราษฎร์ธานี!J391"")"),0)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IFERROR(__xludf.DUMMYFUNCTION("IMPORTRANGE(""https://docs.google.com/spreadsheets/d/1IYY_tgx_IHuhSq3AJ5eI5OnqOPBNLWSHKh2a30DoXe8/edit?usp=sharing"",""สุราษฎร์ธานี!I392"")"),6181)</f>
        <v>6181</v>
      </c>
      <c r="J497" s="449">
        <f ca="1">IFERROR(__xludf.DUMMYFUNCTION("IMPORTRANGE(""https://docs.google.com/spreadsheets/d/1IYY_tgx_IHuhSq3AJ5eI5OnqOPBNLWSHKh2a30DoXe8/edit?usp=sharing"",""สุราษฎร์ธานี!J392"")"),275)</f>
        <v>275</v>
      </c>
      <c r="K497" s="450">
        <f t="shared" ca="1" si="117"/>
        <v>4.4491182656528068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IFERROR(__xludf.DUMMYFUNCTION("IMPORTRANGE(""https://docs.google.com/spreadsheets/d/1IYY_tgx_IHuhSq3AJ5eI5OnqOPBNLWSHKh2a30DoXe8/edit?usp=sharing"",""สุราษฎร์ธานี!I393"")"),6181)</f>
        <v>6181</v>
      </c>
      <c r="J498" s="426">
        <f ca="1">IFERROR(__xludf.DUMMYFUNCTION("IMPORTRANGE(""https://docs.google.com/spreadsheets/d/1IYY_tgx_IHuhSq3AJ5eI5OnqOPBNLWSHKh2a30DoXe8/edit?usp=sharing"",""สุราษฎร์ธานี!J393"")"),275)</f>
        <v>275</v>
      </c>
      <c r="K498" s="208">
        <f t="shared" ca="1" si="117"/>
        <v>4.4491182656528068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IFERROR(__xludf.DUMMYFUNCTION("IMPORTRANGE(""https://docs.google.com/spreadsheets/d/1IYY_tgx_IHuhSq3AJ5eI5OnqOPBNLWSHKh2a30DoXe8/edit?usp=sharing"",""สุราษฎร์ธานี!I394"")"),466)</f>
        <v>466</v>
      </c>
      <c r="J499" s="426">
        <f ca="1">IFERROR(__xludf.DUMMYFUNCTION("IMPORTRANGE(""https://docs.google.com/spreadsheets/d/1IYY_tgx_IHuhSq3AJ5eI5OnqOPBNLWSHKh2a30DoXe8/edit?usp=sharing"",""สุราษฎร์ธานี!J394"")"),18)</f>
        <v>18</v>
      </c>
      <c r="K499" s="208">
        <f t="shared" ca="1" si="117"/>
        <v>3.8626609442060085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IFERROR(__xludf.DUMMYFUNCTION("IMPORTRANGE(""https://docs.google.com/spreadsheets/d/1IYY_tgx_IHuhSq3AJ5eI5OnqOPBNLWSHKh2a30DoXe8/edit?usp=sharing"",""สุราษฎร์ธานี!I395"")"),0)</f>
        <v>0</v>
      </c>
      <c r="J500" s="166">
        <f ca="1">IFERROR(__xludf.DUMMYFUNCTION("IMPORTRANGE(""https://docs.google.com/spreadsheets/d/1IYY_tgx_IHuhSq3AJ5eI5OnqOPBNLWSHKh2a30DoXe8/edit?usp=sharing"",""สุราษฎร์ธานี!J395"")"),275)</f>
        <v>275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IFERROR(__xludf.DUMMYFUNCTION("IMPORTRANGE(""https://docs.google.com/spreadsheets/d/1IYY_tgx_IHuhSq3AJ5eI5OnqOPBNLWSHKh2a30DoXe8/edit?usp=sharing"",""สุราษฎร์ธานี!I396"")"),0)</f>
        <v>0</v>
      </c>
      <c r="J501" s="166">
        <f ca="1">IFERROR(__xludf.DUMMYFUNCTION("IMPORTRANGE(""https://docs.google.com/spreadsheets/d/1IYY_tgx_IHuhSq3AJ5eI5OnqOPBNLWSHKh2a30DoXe8/edit?usp=sharing"",""สุราษฎร์ธานี!J396"")"),18)</f>
        <v>18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IFERROR(__xludf.DUMMYFUNCTION("IMPORTRANGE(""https://docs.google.com/spreadsheets/d/1IYY_tgx_IHuhSq3AJ5eI5OnqOPBNLWSHKh2a30DoXe8/edit?usp=sharing"",""สุราษฎร์ธานี!I397"")"),0)</f>
        <v>0</v>
      </c>
      <c r="J502" s="195">
        <f ca="1">IFERROR(__xludf.DUMMYFUNCTION("IMPORTRANGE(""https://docs.google.com/spreadsheets/d/1IYY_tgx_IHuhSq3AJ5eI5OnqOPBNLWSHKh2a30DoXe8/edit?usp=sharing"",""สุราษฎร์ธานี!J397"")"),275)</f>
        <v>275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IFERROR(__xludf.DUMMYFUNCTION("IMPORTRANGE(""https://docs.google.com/spreadsheets/d/1IYY_tgx_IHuhSq3AJ5eI5OnqOPBNLWSHKh2a30DoXe8/edit?usp=sharing"",""สุราษฎร์ธานี!I398"")"),0)</f>
        <v>0</v>
      </c>
      <c r="J503" s="204">
        <f ca="1">IFERROR(__xludf.DUMMYFUNCTION("IMPORTRANGE(""https://docs.google.com/spreadsheets/d/1IYY_tgx_IHuhSq3AJ5eI5OnqOPBNLWSHKh2a30DoXe8/edit?usp=sharing"",""สุราษฎร์ธานี!J398"")"),18)</f>
        <v>18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IFERROR(__xludf.DUMMYFUNCTION("IMPORTRANGE(""https://docs.google.com/spreadsheets/d/1IYY_tgx_IHuhSq3AJ5eI5OnqOPBNLWSHKh2a30DoXe8/edit?usp=sharing"",""สุราษฎร์ธานี!I399"")"),0)</f>
        <v>0</v>
      </c>
      <c r="J504" s="195">
        <f ca="1">IFERROR(__xludf.DUMMYFUNCTION("IMPORTRANGE(""https://docs.google.com/spreadsheets/d/1IYY_tgx_IHuhSq3AJ5eI5OnqOPBNLWSHKh2a30DoXe8/edit?usp=sharing"",""สุราษฎร์ธานี!J399"")"),0)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IFERROR(__xludf.DUMMYFUNCTION("IMPORTRANGE(""https://docs.google.com/spreadsheets/d/1IYY_tgx_IHuhSq3AJ5eI5OnqOPBNLWSHKh2a30DoXe8/edit?usp=sharing"",""สุราษฎร์ธานี!I400"")"),0)</f>
        <v>0</v>
      </c>
      <c r="J505" s="204">
        <f ca="1">IFERROR(__xludf.DUMMYFUNCTION("IMPORTRANGE(""https://docs.google.com/spreadsheets/d/1IYY_tgx_IHuhSq3AJ5eI5OnqOPBNLWSHKh2a30DoXe8/edit?usp=sharing"",""สุราษฎร์ธานี!J400"")"),0)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IFERROR(__xludf.DUMMYFUNCTION("IMPORTRANGE(""https://docs.google.com/spreadsheets/d/1IYY_tgx_IHuhSq3AJ5eI5OnqOPBNLWSHKh2a30DoXe8/edit?usp=sharing"",""สุราษฎร์ธานี!I401"")"),0)</f>
        <v>0</v>
      </c>
      <c r="J506" s="195">
        <f ca="1">IFERROR(__xludf.DUMMYFUNCTION("IMPORTRANGE(""https://docs.google.com/spreadsheets/d/1IYY_tgx_IHuhSq3AJ5eI5OnqOPBNLWSHKh2a30DoXe8/edit?usp=sharing"",""สุราษฎร์ธานี!J401"")"),0)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IFERROR(__xludf.DUMMYFUNCTION("IMPORTRANGE(""https://docs.google.com/spreadsheets/d/1IYY_tgx_IHuhSq3AJ5eI5OnqOPBNLWSHKh2a30DoXe8/edit?usp=sharing"",""สุราษฎร์ธานี!I402"")"),0)</f>
        <v>0</v>
      </c>
      <c r="J507" s="204">
        <f ca="1">IFERROR(__xludf.DUMMYFUNCTION("IMPORTRANGE(""https://docs.google.com/spreadsheets/d/1IYY_tgx_IHuhSq3AJ5eI5OnqOPBNLWSHKh2a30DoXe8/edit?usp=sharing"",""สุราษฎร์ธานี!J402"")"),0)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IFERROR(__xludf.DUMMYFUNCTION("IMPORTRANGE(""https://docs.google.com/spreadsheets/d/1IYY_tgx_IHuhSq3AJ5eI5OnqOPBNLWSHKh2a30DoXe8/edit?usp=sharing"",""สุราษฎร์ธานี!I403"")"),0)</f>
        <v>0</v>
      </c>
      <c r="J508" s="166">
        <f ca="1">IFERROR(__xludf.DUMMYFUNCTION("IMPORTRANGE(""https://docs.google.com/spreadsheets/d/1IYY_tgx_IHuhSq3AJ5eI5OnqOPBNLWSHKh2a30DoXe8/edit?usp=sharing"",""สุราษฎร์ธานี!J403"")"),0)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IFERROR(__xludf.DUMMYFUNCTION("IMPORTRANGE(""https://docs.google.com/spreadsheets/d/1IYY_tgx_IHuhSq3AJ5eI5OnqOPBNLWSHKh2a30DoXe8/edit?usp=sharing"",""สุราษฎร์ธานี!I404"")"),0)</f>
        <v>0</v>
      </c>
      <c r="J509" s="166">
        <f ca="1">IFERROR(__xludf.DUMMYFUNCTION("IMPORTRANGE(""https://docs.google.com/spreadsheets/d/1IYY_tgx_IHuhSq3AJ5eI5OnqOPBNLWSHKh2a30DoXe8/edit?usp=sharing"",""สุราษฎร์ธานี!J404"")"),0)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IFERROR(__xludf.DUMMYFUNCTION("IMPORTRANGE(""https://docs.google.com/spreadsheets/d/1IYY_tgx_IHuhSq3AJ5eI5OnqOPBNLWSHKh2a30DoXe8/edit?usp=sharing"",""สุราษฎร์ธานี!I405"")"),0)</f>
        <v>0</v>
      </c>
      <c r="J510" s="204">
        <f ca="1">IFERROR(__xludf.DUMMYFUNCTION("IMPORTRANGE(""https://docs.google.com/spreadsheets/d/1IYY_tgx_IHuhSq3AJ5eI5OnqOPBNLWSHKh2a30DoXe8/edit?usp=sharing"",""สุราษฎร์ธานี!J405"")"),0)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IFERROR(__xludf.DUMMYFUNCTION("IMPORTRANGE(""https://docs.google.com/spreadsheets/d/1IYY_tgx_IHuhSq3AJ5eI5OnqOPBNLWSHKh2a30DoXe8/edit?usp=sharing"",""สุราษฎร์ธานี!I406"")"),0)</f>
        <v>0</v>
      </c>
      <c r="J511" s="204">
        <f ca="1">IFERROR(__xludf.DUMMYFUNCTION("IMPORTRANGE(""https://docs.google.com/spreadsheets/d/1IYY_tgx_IHuhSq3AJ5eI5OnqOPBNLWSHKh2a30DoXe8/edit?usp=sharing"",""สุราษฎร์ธานี!J406"")"),0)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IFERROR(__xludf.DUMMYFUNCTION("IMPORTRANGE(""https://docs.google.com/spreadsheets/d/1IYY_tgx_IHuhSq3AJ5eI5OnqOPBNLWSHKh2a30DoXe8/edit?usp=sharing"",""สุราษฎร์ธานี!I407"")"),0)</f>
        <v>0</v>
      </c>
      <c r="J512" s="204">
        <f ca="1">IFERROR(__xludf.DUMMYFUNCTION("IMPORTRANGE(""https://docs.google.com/spreadsheets/d/1IYY_tgx_IHuhSq3AJ5eI5OnqOPBNLWSHKh2a30DoXe8/edit?usp=sharing"",""สุราษฎร์ธานี!J407"")"),0)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IFERROR(__xludf.DUMMYFUNCTION("IMPORTRANGE(""https://docs.google.com/spreadsheets/d/1IYY_tgx_IHuhSq3AJ5eI5OnqOPBNLWSHKh2a30DoXe8/edit?usp=sharing"",""สุราษฎร์ธานี!I408"")"),0)</f>
        <v>0</v>
      </c>
      <c r="J513" s="204">
        <f ca="1">IFERROR(__xludf.DUMMYFUNCTION("IMPORTRANGE(""https://docs.google.com/spreadsheets/d/1IYY_tgx_IHuhSq3AJ5eI5OnqOPBNLWSHKh2a30DoXe8/edit?usp=sharing"",""สุราษฎร์ธานี!J408"")"),0)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IFERROR(__xludf.DUMMYFUNCTION("IMPORTRANGE(""https://docs.google.com/spreadsheets/d/1IYY_tgx_IHuhSq3AJ5eI5OnqOPBNLWSHKh2a30DoXe8/edit?usp=sharing"",""สุราษฎร์ธานี!I409"")"),0)</f>
        <v>0</v>
      </c>
      <c r="J514" s="204">
        <f ca="1">IFERROR(__xludf.DUMMYFUNCTION("IMPORTRANGE(""https://docs.google.com/spreadsheets/d/1IYY_tgx_IHuhSq3AJ5eI5OnqOPBNLWSHKh2a30DoXe8/edit?usp=sharing"",""สุราษฎร์ธานี!J409"")"),0)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IFERROR(__xludf.DUMMYFUNCTION("IMPORTRANGE(""https://docs.google.com/spreadsheets/d/1IYY_tgx_IHuhSq3AJ5eI5OnqOPBNLWSHKh2a30DoXe8/edit?usp=sharing"",""สุราษฎร์ธานี!I410"")"),0)</f>
        <v>0</v>
      </c>
      <c r="J515" s="204">
        <f ca="1">IFERROR(__xludf.DUMMYFUNCTION("IMPORTRANGE(""https://docs.google.com/spreadsheets/d/1IYY_tgx_IHuhSq3AJ5eI5OnqOPBNLWSHKh2a30DoXe8/edit?usp=sharing"",""สุราษฎร์ธานี!J410"")"),0)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IFERROR(__xludf.DUMMYFUNCTION("IMPORTRANGE(""https://docs.google.com/spreadsheets/d/1IYY_tgx_IHuhSq3AJ5eI5OnqOPBNLWSHKh2a30DoXe8/edit?usp=sharing"",""สุราษฎร์ธานี!I411"")"),0)</f>
        <v>0</v>
      </c>
      <c r="J516" s="273">
        <f ca="1">IFERROR(__xludf.DUMMYFUNCTION("IMPORTRANGE(""https://docs.google.com/spreadsheets/d/1IYY_tgx_IHuhSq3AJ5eI5OnqOPBNLWSHKh2a30DoXe8/edit?usp=sharing"",""สุราษฎร์ธานี!J411"")"),0)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IFERROR(__xludf.DUMMYFUNCTION("IMPORTRANGE(""https://docs.google.com/spreadsheets/d/1IYY_tgx_IHuhSq3AJ5eI5OnqOPBNLWSHKh2a30DoXe8/edit?usp=sharing"",""สุราษฎร์ธานี!I412"")"),0)</f>
        <v>0</v>
      </c>
      <c r="J517" s="290">
        <f ca="1">IFERROR(__xludf.DUMMYFUNCTION("IMPORTRANGE(""https://docs.google.com/spreadsheets/d/1IYY_tgx_IHuhSq3AJ5eI5OnqOPBNLWSHKh2a30DoXe8/edit?usp=sharing"",""สุราษฎร์ธานี!J412"")"),0)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IFERROR(__xludf.DUMMYFUNCTION("IMPORTRANGE(""https://docs.google.com/spreadsheets/d/1IYY_tgx_IHuhSq3AJ5eI5OnqOPBNLWSHKh2a30DoXe8/edit?usp=sharing"",""สุราษฎร์ธานี!I413"")"),0)</f>
        <v>0</v>
      </c>
      <c r="J518" s="290">
        <f ca="1">IFERROR(__xludf.DUMMYFUNCTION("IMPORTRANGE(""https://docs.google.com/spreadsheets/d/1IYY_tgx_IHuhSq3AJ5eI5OnqOPBNLWSHKh2a30DoXe8/edit?usp=sharing"",""สุราษฎร์ธานี!J413"")"),0)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IFERROR(__xludf.DUMMYFUNCTION("IMPORTRANGE(""https://docs.google.com/spreadsheets/d/1IYY_tgx_IHuhSq3AJ5eI5OnqOPBNLWSHKh2a30DoXe8/edit?usp=sharing"",""สุราษฎร์ธานี!I414"")"),0)</f>
        <v>0</v>
      </c>
      <c r="J519" s="194">
        <f ca="1">IFERROR(__xludf.DUMMYFUNCTION("IMPORTRANGE(""https://docs.google.com/spreadsheets/d/1IYY_tgx_IHuhSq3AJ5eI5OnqOPBNLWSHKh2a30DoXe8/edit?usp=sharing"",""สุราษฎร์ธานี!J414"")"),0)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IFERROR(__xludf.DUMMYFUNCTION("IMPORTRANGE(""https://docs.google.com/spreadsheets/d/1IYY_tgx_IHuhSq3AJ5eI5OnqOPBNLWSHKh2a30DoXe8/edit?usp=sharing"",""สุราษฎร์ธานี!I415"")"),0)</f>
        <v>0</v>
      </c>
      <c r="J520" s="194">
        <f ca="1">IFERROR(__xludf.DUMMYFUNCTION("IMPORTRANGE(""https://docs.google.com/spreadsheets/d/1IYY_tgx_IHuhSq3AJ5eI5OnqOPBNLWSHKh2a30DoXe8/edit?usp=sharing"",""สุราษฎร์ธานี!J415"")"),0)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IFERROR(__xludf.DUMMYFUNCTION("IMPORTRANGE(""https://docs.google.com/spreadsheets/d/1IYY_tgx_IHuhSq3AJ5eI5OnqOPBNLWSHKh2a30DoXe8/edit?usp=sharing"",""สุราษฎร์ธานี!I416"")"),0)</f>
        <v>0</v>
      </c>
      <c r="J521" s="194">
        <f ca="1">IFERROR(__xludf.DUMMYFUNCTION("IMPORTRANGE(""https://docs.google.com/spreadsheets/d/1IYY_tgx_IHuhSq3AJ5eI5OnqOPBNLWSHKh2a30DoXe8/edit?usp=sharing"",""สุราษฎร์ธานี!J416"")"),0)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IFERROR(__xludf.DUMMYFUNCTION("IMPORTRANGE(""https://docs.google.com/spreadsheets/d/1IYY_tgx_IHuhSq3AJ5eI5OnqOPBNLWSHKh2a30DoXe8/edit?usp=sharing"",""สุราษฎร์ธานี!I417"")"),0)</f>
        <v>0</v>
      </c>
      <c r="J522" s="194">
        <f ca="1">IFERROR(__xludf.DUMMYFUNCTION("IMPORTRANGE(""https://docs.google.com/spreadsheets/d/1IYY_tgx_IHuhSq3AJ5eI5OnqOPBNLWSHKh2a30DoXe8/edit?usp=sharing"",""สุราษฎร์ธานี!J417"")"),0)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IFERROR(__xludf.DUMMYFUNCTION("IMPORTRANGE(""https://docs.google.com/spreadsheets/d/1IYY_tgx_IHuhSq3AJ5eI5OnqOPBNLWSHKh2a30DoXe8/edit?usp=sharing"",""สุราษฎร์ธานี!I418"")"),0)</f>
        <v>0</v>
      </c>
      <c r="J523" s="194">
        <f ca="1">IFERROR(__xludf.DUMMYFUNCTION("IMPORTRANGE(""https://docs.google.com/spreadsheets/d/1IYY_tgx_IHuhSq3AJ5eI5OnqOPBNLWSHKh2a30DoXe8/edit?usp=sharing"",""สุราษฎร์ธานี!J418"")"),3)</f>
        <v>3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IFERROR(__xludf.DUMMYFUNCTION("IMPORTRANGE(""https://docs.google.com/spreadsheets/d/1IYY_tgx_IHuhSq3AJ5eI5OnqOPBNLWSHKh2a30DoXe8/edit?usp=sharing"",""สุราษฎร์ธานี!I419"")"),0)</f>
        <v>0</v>
      </c>
      <c r="J524" s="194">
        <f ca="1">IFERROR(__xludf.DUMMYFUNCTION("IMPORTRANGE(""https://docs.google.com/spreadsheets/d/1IYY_tgx_IHuhSq3AJ5eI5OnqOPBNLWSHKh2a30DoXe8/edit?usp=sharing"",""สุราษฎร์ธานี!J419"")"),2)</f>
        <v>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IFERROR(__xludf.DUMMYFUNCTION("IMPORTRANGE(""https://docs.google.com/spreadsheets/d/1IYY_tgx_IHuhSq3AJ5eI5OnqOPBNLWSHKh2a30DoXe8/edit?usp=sharing"",""สุราษฎร์ธานี!I420"")"),3)</f>
        <v>3</v>
      </c>
      <c r="J525" s="290">
        <f ca="1">IFERROR(__xludf.DUMMYFUNCTION("IMPORTRANGE(""https://docs.google.com/spreadsheets/d/1IYY_tgx_IHuhSq3AJ5eI5OnqOPBNLWSHKh2a30DoXe8/edit?usp=sharing"",""สุราษฎร์ธานี!J420"")"),0)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IFERROR(__xludf.DUMMYFUNCTION("IMPORTRANGE(""https://docs.google.com/spreadsheets/d/1IYY_tgx_IHuhSq3AJ5eI5OnqOPBNLWSHKh2a30DoXe8/edit?usp=sharing"",""สุราษฎร์ธานี!I421"")"),2)</f>
        <v>2</v>
      </c>
      <c r="J526" s="290">
        <f ca="1">IFERROR(__xludf.DUMMYFUNCTION("IMPORTRANGE(""https://docs.google.com/spreadsheets/d/1IYY_tgx_IHuhSq3AJ5eI5OnqOPBNLWSHKh2a30DoXe8/edit?usp=sharing"",""สุราษฎร์ธานี!J421"")"),0)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IFERROR(__xludf.DUMMYFUNCTION("IMPORTRANGE(""https://docs.google.com/spreadsheets/d/1IYY_tgx_IHuhSq3AJ5eI5OnqOPBNLWSHKh2a30DoXe8/edit?usp=sharing"",""สุราษฎร์ธานี!I422"")"),0)</f>
        <v>0</v>
      </c>
      <c r="J527" s="204">
        <f ca="1">IFERROR(__xludf.DUMMYFUNCTION("IMPORTRANGE(""https://docs.google.com/spreadsheets/d/1IYY_tgx_IHuhSq3AJ5eI5OnqOPBNLWSHKh2a30DoXe8/edit?usp=sharing"",""สุราษฎร์ธานี!J422"")"),0)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IFERROR(__xludf.DUMMYFUNCTION("IMPORTRANGE(""https://docs.google.com/spreadsheets/d/1IYY_tgx_IHuhSq3AJ5eI5OnqOPBNLWSHKh2a30DoXe8/edit?usp=sharing"",""สุราษฎร์ธานี!I423"")"),0)</f>
        <v>0</v>
      </c>
      <c r="J528" s="204">
        <f ca="1">IFERROR(__xludf.DUMMYFUNCTION("IMPORTRANGE(""https://docs.google.com/spreadsheets/d/1IYY_tgx_IHuhSq3AJ5eI5OnqOPBNLWSHKh2a30DoXe8/edit?usp=sharing"",""สุราษฎร์ธานี!J423"")"),0)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IFERROR(__xludf.DUMMYFUNCTION("IMPORTRANGE(""https://docs.google.com/spreadsheets/d/1IYY_tgx_IHuhSq3AJ5eI5OnqOPBNLWSHKh2a30DoXe8/edit?usp=sharing"",""สุราษฎร์ธานี!I424"")"),0)</f>
        <v>0</v>
      </c>
      <c r="J529" s="204">
        <f ca="1">IFERROR(__xludf.DUMMYFUNCTION("IMPORTRANGE(""https://docs.google.com/spreadsheets/d/1IYY_tgx_IHuhSq3AJ5eI5OnqOPBNLWSHKh2a30DoXe8/edit?usp=sharing"",""สุราษฎร์ธานี!J424"")"),0)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IFERROR(__xludf.DUMMYFUNCTION("IMPORTRANGE(""https://docs.google.com/spreadsheets/d/1IYY_tgx_IHuhSq3AJ5eI5OnqOPBNLWSHKh2a30DoXe8/edit?usp=sharing"",""สุราษฎร์ธานี!I425"")"),0)</f>
        <v>0</v>
      </c>
      <c r="J530" s="204">
        <f ca="1">IFERROR(__xludf.DUMMYFUNCTION("IMPORTRANGE(""https://docs.google.com/spreadsheets/d/1IYY_tgx_IHuhSq3AJ5eI5OnqOPBNLWSHKh2a30DoXe8/edit?usp=sharing"",""สุราษฎร์ธานี!J425"")"),0)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IFERROR(__xludf.DUMMYFUNCTION("IMPORTRANGE(""https://docs.google.com/spreadsheets/d/1IYY_tgx_IHuhSq3AJ5eI5OnqOPBNLWSHKh2a30DoXe8/edit?usp=sharing"",""สุราษฎร์ธานี!I426"")"),0)</f>
        <v>0</v>
      </c>
      <c r="J531" s="204">
        <f ca="1">IFERROR(__xludf.DUMMYFUNCTION("IMPORTRANGE(""https://docs.google.com/spreadsheets/d/1IYY_tgx_IHuhSq3AJ5eI5OnqOPBNLWSHKh2a30DoXe8/edit?usp=sharing"",""สุราษฎร์ธานี!J426"")"),0)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IFERROR(__xludf.DUMMYFUNCTION("IMPORTRANGE(""https://docs.google.com/spreadsheets/d/1IYY_tgx_IHuhSq3AJ5eI5OnqOPBNLWSHKh2a30DoXe8/edit?usp=sharing"",""สุราษฎร์ธานี!I427"")"),0)</f>
        <v>0</v>
      </c>
      <c r="J532" s="472">
        <f ca="1">IFERROR(__xludf.DUMMYFUNCTION("IMPORTRANGE(""https://docs.google.com/spreadsheets/d/1IYY_tgx_IHuhSq3AJ5eI5OnqOPBNLWSHKh2a30DoXe8/edit?usp=sharing"",""สุราษฎร์ธานี!J427"")"),0)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IFERROR(__xludf.DUMMYFUNCTION("IMPORTRANGE(""https://docs.google.com/spreadsheets/d/1IYY_tgx_IHuhSq3AJ5eI5OnqOPBNLWSHKh2a30DoXe8/edit?usp=sharing"",""สุราษฎร์ธานี!I428"")"),24)</f>
        <v>24</v>
      </c>
      <c r="J533" s="416">
        <f ca="1">IFERROR(__xludf.DUMMYFUNCTION("IMPORTRANGE(""https://docs.google.com/spreadsheets/d/1IYY_tgx_IHuhSq3AJ5eI5OnqOPBNLWSHKh2a30DoXe8/edit?usp=sharing"",""สุราษฎร์ธานี!J428"")"),24)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IFERROR(__xludf.DUMMYFUNCTION("IMPORTRANGE(""https://docs.google.com/spreadsheets/d/1IYY_tgx_IHuhSq3AJ5eI5OnqOPBNLWSHKh2a30DoXe8/edit?usp=sharing"",""สุราษฎร์ธานี!L428"")"),36040)</f>
        <v>36040</v>
      </c>
      <c r="M533" s="418"/>
      <c r="N533" s="418">
        <f ca="1">IFERROR(__xludf.DUMMYFUNCTION("IMPORTRANGE(""https://docs.google.com/spreadsheets/d/1IYY_tgx_IHuhSq3AJ5eI5OnqOPBNLWSHKh2a30DoXe8/edit?usp=sharing"",""สุราษฎร์ธานี!M428"")"),21146)</f>
        <v>21146</v>
      </c>
      <c r="O533" s="418">
        <f t="shared" ref="O533:O537" ca="1" si="118">+IF(L533&gt;0,N533*100/L533,0)</f>
        <v>58.673695893451722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IFERROR(__xludf.DUMMYFUNCTION("IMPORTRANGE(""https://docs.google.com/spreadsheets/d/1IYY_tgx_IHuhSq3AJ5eI5OnqOPBNLWSHKh2a30DoXe8/edit?usp=sharing"",""สุราษฎร์ธานี!L429"")"),0)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IFERROR(__xludf.DUMMYFUNCTION("IMPORTRANGE(""https://docs.google.com/spreadsheets/d/1IYY_tgx_IHuhSq3AJ5eI5OnqOPBNLWSHKh2a30DoXe8/edit?usp=sharing"",""สุราษฎร์ธานี!M429"")"),0)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IFERROR(__xludf.DUMMYFUNCTION("IMPORTRANGE(""https://docs.google.com/spreadsheets/d/1IYY_tgx_IHuhSq3AJ5eI5OnqOPBNLWSHKh2a30DoXe8/edit?usp=sharing"",""สุราษฎร์ธานี!L430"")"),36040)</f>
        <v>36040</v>
      </c>
      <c r="M535" s="169"/>
      <c r="N535" s="175">
        <f ca="1">IFERROR(__xludf.DUMMYFUNCTION("IMPORTRANGE(""https://docs.google.com/spreadsheets/d/1IYY_tgx_IHuhSq3AJ5eI5OnqOPBNLWSHKh2a30DoXe8/edit?usp=sharing"",""สุราษฎร์ธานี!M430"")"),21146)</f>
        <v>21146</v>
      </c>
      <c r="O535" s="175">
        <f t="shared" ca="1" si="118"/>
        <v>58.673695893451722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IFERROR(__xludf.DUMMYFUNCTION("IMPORTRANGE(""https://docs.google.com/spreadsheets/d/1IYY_tgx_IHuhSq3AJ5eI5OnqOPBNLWSHKh2a30DoXe8/edit?usp=sharing"",""สุราษฎร์ธานี!L431"")"),0)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IFERROR(__xludf.DUMMYFUNCTION("IMPORTRANGE(""https://docs.google.com/spreadsheets/d/1IYY_tgx_IHuhSq3AJ5eI5OnqOPBNLWSHKh2a30DoXe8/edit?usp=sharing"",""สุราษฎร์ธานี!M431"")"),0)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IFERROR(__xludf.DUMMYFUNCTION("IMPORTRANGE(""https://docs.google.com/spreadsheets/d/1IYY_tgx_IHuhSq3AJ5eI5OnqOPBNLWSHKh2a30DoXe8/edit?usp=sharing"",""สุราษฎร์ธานี!L432"")"),36040)</f>
        <v>36040</v>
      </c>
      <c r="M537" s="175"/>
      <c r="N537" s="175">
        <f ca="1">IFERROR(__xludf.DUMMYFUNCTION("IMPORTRANGE(""https://docs.google.com/spreadsheets/d/1IYY_tgx_IHuhSq3AJ5eI5OnqOPBNLWSHKh2a30DoXe8/edit?usp=sharing"",""สุราษฎร์ธานี!M432"")"),21146)</f>
        <v>21146</v>
      </c>
      <c r="O537" s="175">
        <f t="shared" ca="1" si="118"/>
        <v>58.673695893451722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IFERROR(__xludf.DUMMYFUNCTION("IMPORTRANGE(""https://docs.google.com/spreadsheets/d/1IYY_tgx_IHuhSq3AJ5eI5OnqOPBNLWSHKh2a30DoXe8/edit?usp=sharing"",""สุราษฎร์ธานี!M433"")"),17179)</f>
        <v>17179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IFERROR(__xludf.DUMMYFUNCTION("IMPORTRANGE(""https://docs.google.com/spreadsheets/d/1IYY_tgx_IHuhSq3AJ5eI5OnqOPBNLWSHKh2a30DoXe8/edit?usp=sharing"",""สุราษฎร์ธานี!M434"")"),0)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IFERROR(__xludf.DUMMYFUNCTION("IMPORTRANGE(""https://docs.google.com/spreadsheets/d/1IYY_tgx_IHuhSq3AJ5eI5OnqOPBNLWSHKh2a30DoXe8/edit?usp=sharing"",""สุราษฎร์ธานี!M435"")"),0)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IFERROR(__xludf.DUMMYFUNCTION("IMPORTRANGE(""https://docs.google.com/spreadsheets/d/1IYY_tgx_IHuhSq3AJ5eI5OnqOPBNLWSHKh2a30DoXe8/edit?usp=sharing"",""สุราษฎร์ธานี!M436"")"),3967)</f>
        <v>3967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IFERROR(__xludf.DUMMYFUNCTION("IMPORTRANGE(""https://docs.google.com/spreadsheets/d/1IYY_tgx_IHuhSq3AJ5eI5OnqOPBNLWSHKh2a30DoXe8/edit?usp=sharing"",""สุราษฎร์ธานี!J438"")"),0)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IFERROR(__xludf.DUMMYFUNCTION("IMPORTRANGE(""https://docs.google.com/spreadsheets/d/1IYY_tgx_IHuhSq3AJ5eI5OnqOPBNLWSHKh2a30DoXe8/edit?usp=sharing"",""สุราษฎร์ธานี!J439"")"),1)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IFERROR(__xludf.DUMMYFUNCTION("IMPORTRANGE(""https://docs.google.com/spreadsheets/d/1IYY_tgx_IHuhSq3AJ5eI5OnqOPBNLWSHKh2a30DoXe8/edit?usp=sharing"",""สุราษฎร์ธานี!J440"")"),1)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IFERROR(__xludf.DUMMYFUNCTION("IMPORTRANGE(""https://docs.google.com/spreadsheets/d/1IYY_tgx_IHuhSq3AJ5eI5OnqOPBNLWSHKh2a30DoXe8/edit?usp=sharing"",""สุราษฎร์ธานี!J441"")"),1)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IFERROR(__xludf.DUMMYFUNCTION("IMPORTRANGE(""https://docs.google.com/spreadsheets/d/1IYY_tgx_IHuhSq3AJ5eI5OnqOPBNLWSHKh2a30DoXe8/edit?usp=sharing"",""สุราษฎร์ธานี!I442"")"),24)</f>
        <v>24</v>
      </c>
      <c r="J547" s="195">
        <f ca="1">IFERROR(__xludf.DUMMYFUNCTION("IMPORTRANGE(""https://docs.google.com/spreadsheets/d/1IYY_tgx_IHuhSq3AJ5eI5OnqOPBNLWSHKh2a30DoXe8/edit?usp=sharing"",""สุราษฎร์ธานี!J442"")"),24)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IFERROR(__xludf.DUMMYFUNCTION("IMPORTRANGE(""https://docs.google.com/spreadsheets/d/1IYY_tgx_IHuhSq3AJ5eI5OnqOPBNLWSHKh2a30DoXe8/edit?usp=sharing"",""สุราษฎร์ธานี!J166"")"),0)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IFERROR(__xludf.DUMMYFUNCTION("IMPORTRANGE(""https://docs.google.com/spreadsheets/d/1IYY_tgx_IHuhSq3AJ5eI5OnqOPBNLWSHKh2a30DoXe8/edit?usp=sharing"",""สุราษฎร์ธานี!J444"")"),0)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IFERROR(__xludf.DUMMYFUNCTION("IMPORTRANGE(""https://docs.google.com/spreadsheets/d/1IYY_tgx_IHuhSq3AJ5eI5OnqOPBNLWSHKh2a30DoXe8/edit?usp=sharing"",""สุราษฎร์ธานี!J445"")"),0)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IFERROR(__xludf.DUMMYFUNCTION("IMPORTRANGE(""https://docs.google.com/spreadsheets/d/1IYY_tgx_IHuhSq3AJ5eI5OnqOPBNLWSHKh2a30DoXe8/edit?usp=sharing"",""สุราษฎร์ธานี!I446"")"),0)</f>
        <v>0</v>
      </c>
      <c r="J551" s="416">
        <f ca="1">IFERROR(__xludf.DUMMYFUNCTION("IMPORTRANGE(""https://docs.google.com/spreadsheets/d/1IYY_tgx_IHuhSq3AJ5eI5OnqOPBNLWSHKh2a30DoXe8/edit?usp=sharing"",""สุราษฎร์ธานี!J446"")"),0)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IFERROR(__xludf.DUMMYFUNCTION("IMPORTRANGE(""https://docs.google.com/spreadsheets/d/1IYY_tgx_IHuhSq3AJ5eI5OnqOPBNLWSHKh2a30DoXe8/edit?usp=sharing"",""สุราษฎร์ธานี!L446"")"),0)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IFERROR(__xludf.DUMMYFUNCTION("IMPORTRANGE(""https://docs.google.com/spreadsheets/d/1IYY_tgx_IHuhSq3AJ5eI5OnqOPBNLWSHKh2a30DoXe8/edit?usp=sharing"",""สุราษฎร์ธานี!M446"")"),0)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IFERROR(__xludf.DUMMYFUNCTION("IMPORTRANGE(""https://docs.google.com/spreadsheets/d/1IYY_tgx_IHuhSq3AJ5eI5OnqOPBNLWSHKh2a30DoXe8/edit?usp=sharing"",""สุราษฎร์ธานี!L447"")"),0)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IFERROR(__xludf.DUMMYFUNCTION("IMPORTRANGE(""https://docs.google.com/spreadsheets/d/1IYY_tgx_IHuhSq3AJ5eI5OnqOPBNLWSHKh2a30DoXe8/edit?usp=sharing"",""สุราษฎร์ธานี!M447"")"),0)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IFERROR(__xludf.DUMMYFUNCTION("IMPORTRANGE(""https://docs.google.com/spreadsheets/d/1IYY_tgx_IHuhSq3AJ5eI5OnqOPBNLWSHKh2a30DoXe8/edit?usp=sharing"",""สุราษฎร์ธานี!L448"")"),0)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IFERROR(__xludf.DUMMYFUNCTION("IMPORTRANGE(""https://docs.google.com/spreadsheets/d/1IYY_tgx_IHuhSq3AJ5eI5OnqOPBNLWSHKh2a30DoXe8/edit?usp=sharing"",""สุราษฎร์ธานี!M448"")"),0)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IFERROR(__xludf.DUMMYFUNCTION("IMPORTRANGE(""https://docs.google.com/spreadsheets/d/1IYY_tgx_IHuhSq3AJ5eI5OnqOPBNLWSHKh2a30DoXe8/edit?usp=sharing"",""สุราษฎร์ธานี!L449"")"),0)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IFERROR(__xludf.DUMMYFUNCTION("IMPORTRANGE(""https://docs.google.com/spreadsheets/d/1IYY_tgx_IHuhSq3AJ5eI5OnqOPBNLWSHKh2a30DoXe8/edit?usp=sharing"",""สุราษฎร์ธานี!M449"")"),0)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IFERROR(__xludf.DUMMYFUNCTION("IMPORTRANGE(""https://docs.google.com/spreadsheets/d/1IYY_tgx_IHuhSq3AJ5eI5OnqOPBNLWSHKh2a30DoXe8/edit?usp=sharing"",""สุราษฎร์ธานี!L450"")"),0)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IFERROR(__xludf.DUMMYFUNCTION("IMPORTRANGE(""https://docs.google.com/spreadsheets/d/1IYY_tgx_IHuhSq3AJ5eI5OnqOPBNLWSHKh2a30DoXe8/edit?usp=sharing"",""สุราษฎร์ธานี!M450"")"),0)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IFERROR(__xludf.DUMMYFUNCTION("IMPORTRANGE(""https://docs.google.com/spreadsheets/d/1IYY_tgx_IHuhSq3AJ5eI5OnqOPBNLWSHKh2a30DoXe8/edit?usp=sharing"",""สุราษฎร์ธานี!M451"")"),0)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IFERROR(__xludf.DUMMYFUNCTION("IMPORTRANGE(""https://docs.google.com/spreadsheets/d/1IYY_tgx_IHuhSq3AJ5eI5OnqOPBNLWSHKh2a30DoXe8/edit?usp=sharing"",""สุราษฎร์ธานี!M452"")"),0)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IFERROR(__xludf.DUMMYFUNCTION("IMPORTRANGE(""https://docs.google.com/spreadsheets/d/1IYY_tgx_IHuhSq3AJ5eI5OnqOPBNLWSHKh2a30DoXe8/edit?usp=sharing"",""สุราษฎร์ธานี!M453"")"),0)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IFERROR(__xludf.DUMMYFUNCTION("IMPORTRANGE(""https://docs.google.com/spreadsheets/d/1IYY_tgx_IHuhSq3AJ5eI5OnqOPBNLWSHKh2a30DoXe8/edit?usp=sharing"",""สุราษฎร์ธานี!M454"")"),0)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IFERROR(__xludf.DUMMYFUNCTION("IMPORTRANGE(""https://docs.google.com/spreadsheets/d/1IYY_tgx_IHuhSq3AJ5eI5OnqOPBNLWSHKh2a30DoXe8/edit?usp=sharing"",""สุราษฎร์ธานี!I455"")"),0)</f>
        <v>0</v>
      </c>
      <c r="J560" s="166">
        <f ca="1">IFERROR(__xludf.DUMMYFUNCTION("IMPORTRANGE(""https://docs.google.com/spreadsheets/d/1IYY_tgx_IHuhSq3AJ5eI5OnqOPBNLWSHKh2a30DoXe8/edit?usp=sharing"",""สุราษฎร์ธานี!J455"")"),0)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IFERROR(__xludf.DUMMYFUNCTION("IMPORTRANGE(""https://docs.google.com/spreadsheets/d/1IYY_tgx_IHuhSq3AJ5eI5OnqOPBNLWSHKh2a30DoXe8/edit?usp=sharing"",""สุราษฎร์ธานี!I456"")"),0)</f>
        <v>0</v>
      </c>
      <c r="J561" s="210">
        <f ca="1">IFERROR(__xludf.DUMMYFUNCTION("IMPORTRANGE(""https://docs.google.com/spreadsheets/d/1IYY_tgx_IHuhSq3AJ5eI5OnqOPBNLWSHKh2a30DoXe8/edit?usp=sharing"",""สุราษฎร์ธานี!J456"")"),0)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IFERROR(__xludf.DUMMYFUNCTION("IMPORTRANGE(""https://docs.google.com/spreadsheets/d/1IYY_tgx_IHuhSq3AJ5eI5OnqOPBNLWSHKh2a30DoXe8/edit?usp=sharing"",""สุราษฎร์ธานี!I459"")"),3100)</f>
        <v>3100</v>
      </c>
      <c r="J564" s="377">
        <f ca="1">IFERROR(__xludf.DUMMYFUNCTION("IMPORTRANGE(""https://docs.google.com/spreadsheets/d/1IYY_tgx_IHuhSq3AJ5eI5OnqOPBNLWSHKh2a30DoXe8/edit?usp=sharing"",""สุราษฎร์ธานี!J459"")"),4186)</f>
        <v>4186</v>
      </c>
      <c r="K564" s="378">
        <f ca="1">IF(I564&gt;0,J564*100/I564,0)</f>
        <v>135.03225806451613</v>
      </c>
      <c r="L564" s="379">
        <f ca="1">IFERROR(__xludf.DUMMYFUNCTION("IMPORTRANGE(""https://docs.google.com/spreadsheets/d/1IYY_tgx_IHuhSq3AJ5eI5OnqOPBNLWSHKh2a30DoXe8/edit?usp=sharing"",""สุราษฎร์ธานี!L459"")"),167200)</f>
        <v>167200</v>
      </c>
      <c r="M564" s="379"/>
      <c r="N564" s="379">
        <f ca="1">IFERROR(__xludf.DUMMYFUNCTION("IMPORTRANGE(""https://docs.google.com/spreadsheets/d/1IYY_tgx_IHuhSq3AJ5eI5OnqOPBNLWSHKh2a30DoXe8/edit?usp=sharing"",""สุราษฎร์ธานี!M459"")"),44000)</f>
        <v>44000</v>
      </c>
      <c r="O564" s="379">
        <f t="shared" ref="O564:O568" ca="1" si="122">+IF(L564&gt;0,N564*100/L564,0)</f>
        <v>26.315789473684209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IFERROR(__xludf.DUMMYFUNCTION("IMPORTRANGE(""https://docs.google.com/spreadsheets/d/1IYY_tgx_IHuhSq3AJ5eI5OnqOPBNLWSHKh2a30DoXe8/edit?usp=sharing"",""สุราษฎร์ธานี!L460"")"),0)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IFERROR(__xludf.DUMMYFUNCTION("IMPORTRANGE(""https://docs.google.com/spreadsheets/d/1IYY_tgx_IHuhSq3AJ5eI5OnqOPBNLWSHKh2a30DoXe8/edit?usp=sharing"",""สุราษฎร์ธานี!M460"")"),0)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IFERROR(__xludf.DUMMYFUNCTION("IMPORTRANGE(""https://docs.google.com/spreadsheets/d/1IYY_tgx_IHuhSq3AJ5eI5OnqOPBNLWSHKh2a30DoXe8/edit?usp=sharing"",""สุราษฎร์ธานี!L461"")"),167200)</f>
        <v>167200</v>
      </c>
      <c r="M566" s="169"/>
      <c r="N566" s="175">
        <f ca="1">IFERROR(__xludf.DUMMYFUNCTION("IMPORTRANGE(""https://docs.google.com/spreadsheets/d/1IYY_tgx_IHuhSq3AJ5eI5OnqOPBNLWSHKh2a30DoXe8/edit?usp=sharing"",""สุราษฎร์ธานี!M461"")"),44000)</f>
        <v>44000</v>
      </c>
      <c r="O566" s="175">
        <f t="shared" ca="1" si="122"/>
        <v>26.315789473684209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IFERROR(__xludf.DUMMYFUNCTION("IMPORTRANGE(""https://docs.google.com/spreadsheets/d/1IYY_tgx_IHuhSq3AJ5eI5OnqOPBNLWSHKh2a30DoXe8/edit?usp=sharing"",""สุราษฎร์ธานี!L462"")"),0)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IFERROR(__xludf.DUMMYFUNCTION("IMPORTRANGE(""https://docs.google.com/spreadsheets/d/1IYY_tgx_IHuhSq3AJ5eI5OnqOPBNLWSHKh2a30DoXe8/edit?usp=sharing"",""สุราษฎร์ธานี!M462"")"),0)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IFERROR(__xludf.DUMMYFUNCTION("IMPORTRANGE(""https://docs.google.com/spreadsheets/d/1IYY_tgx_IHuhSq3AJ5eI5OnqOPBNLWSHKh2a30DoXe8/edit?usp=sharing"",""สุราษฎร์ธานี!L463"")"),167200)</f>
        <v>167200</v>
      </c>
      <c r="M568" s="175"/>
      <c r="N568" s="175">
        <f ca="1">IFERROR(__xludf.DUMMYFUNCTION("IMPORTRANGE(""https://docs.google.com/spreadsheets/d/1IYY_tgx_IHuhSq3AJ5eI5OnqOPBNLWSHKh2a30DoXe8/edit?usp=sharing"",""สุราษฎร์ธานี!M463"")"),44000)</f>
        <v>44000</v>
      </c>
      <c r="O568" s="175">
        <f t="shared" ca="1" si="122"/>
        <v>26.315789473684209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IFERROR(__xludf.DUMMYFUNCTION("IMPORTRANGE(""https://docs.google.com/spreadsheets/d/1IYY_tgx_IHuhSq3AJ5eI5OnqOPBNLWSHKh2a30DoXe8/edit?usp=sharing"",""สุราษฎร์ธานี!M464"")"),0)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IFERROR(__xludf.DUMMYFUNCTION("IMPORTRANGE(""https://docs.google.com/spreadsheets/d/1IYY_tgx_IHuhSq3AJ5eI5OnqOPBNLWSHKh2a30DoXe8/edit?usp=sharing"",""สุราษฎร์ธานี!M465"")"),0)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IFERROR(__xludf.DUMMYFUNCTION("IMPORTRANGE(""https://docs.google.com/spreadsheets/d/1IYY_tgx_IHuhSq3AJ5eI5OnqOPBNLWSHKh2a30DoXe8/edit?usp=sharing"",""สุราษฎร์ธานี!M466"")"),44000)</f>
        <v>44000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IFERROR(__xludf.DUMMYFUNCTION("IMPORTRANGE(""https://docs.google.com/spreadsheets/d/1IYY_tgx_IHuhSq3AJ5eI5OnqOPBNLWSHKh2a30DoXe8/edit?usp=sharing"",""สุราษฎร์ธานี!M467"")"),0)</f>
        <v>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IFERROR(__xludf.DUMMYFUNCTION("IMPORTRANGE(""https://docs.google.com/spreadsheets/d/1IYY_tgx_IHuhSq3AJ5eI5OnqOPBNLWSHKh2a30DoXe8/edit?usp=sharing"",""สุราษฎร์ธานี!I468"")"),3100)</f>
        <v>3100</v>
      </c>
      <c r="J573" s="426">
        <f ca="1">IFERROR(__xludf.DUMMYFUNCTION("IMPORTRANGE(""https://docs.google.com/spreadsheets/d/1IYY_tgx_IHuhSq3AJ5eI5OnqOPBNLWSHKh2a30DoXe8/edit?usp=sharing"",""สุราษฎร์ธานี!J468"")"),4186)</f>
        <v>4186</v>
      </c>
      <c r="K573" s="208">
        <f ca="1">IF(I573&gt;0,J573*100/I573,0)</f>
        <v>135.03225806451613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IFERROR(__xludf.DUMMYFUNCTION("IMPORTRANGE(""https://docs.google.com/spreadsheets/d/1IYY_tgx_IHuhSq3AJ5eI5OnqOPBNLWSHKh2a30DoXe8/edit?usp=sharing"",""สุราษฎร์ธานี!I470"")"),0)</f>
        <v>0</v>
      </c>
      <c r="J575" s="204">
        <f ca="1">IFERROR(__xludf.DUMMYFUNCTION("IMPORTRANGE(""https://docs.google.com/spreadsheets/d/1IYY_tgx_IHuhSq3AJ5eI5OnqOPBNLWSHKh2a30DoXe8/edit?usp=sharing"",""สุราษฎร์ธานี!J470"")"),2)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IFERROR(__xludf.DUMMYFUNCTION("IMPORTRANGE(""https://docs.google.com/spreadsheets/d/1IYY_tgx_IHuhSq3AJ5eI5OnqOPBNLWSHKh2a30DoXe8/edit?usp=sharing"",""สุราษฎร์ธานี!I471"")"),0)</f>
        <v>0</v>
      </c>
      <c r="J576" s="204">
        <f ca="1">IFERROR(__xludf.DUMMYFUNCTION("IMPORTRANGE(""https://docs.google.com/spreadsheets/d/1IYY_tgx_IHuhSq3AJ5eI5OnqOPBNLWSHKh2a30DoXe8/edit?usp=sharing"",""สุราษฎร์ธานี!J471"")"),50)</f>
        <v>50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IFERROR(__xludf.DUMMYFUNCTION("IMPORTRANGE(""https://docs.google.com/spreadsheets/d/1IYY_tgx_IHuhSq3AJ5eI5OnqOPBNLWSHKh2a30DoXe8/edit?usp=sharing"",""สุราษฎร์ธานี!I472"")"),0)</f>
        <v>0</v>
      </c>
      <c r="J577" s="195">
        <f ca="1">IFERROR(__xludf.DUMMYFUNCTION("IMPORTRANGE(""https://docs.google.com/spreadsheets/d/1IYY_tgx_IHuhSq3AJ5eI5OnqOPBNLWSHKh2a30DoXe8/edit?usp=sharing"",""สุราษฎร์ธานี!J472"")"),4130)</f>
        <v>4130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IFERROR(__xludf.DUMMYFUNCTION("IMPORTRANGE(""https://docs.google.com/spreadsheets/d/1IYY_tgx_IHuhSq3AJ5eI5OnqOPBNLWSHKh2a30DoXe8/edit?usp=sharing"",""สุราษฎร์ธานี!I473"")"),0)</f>
        <v>0</v>
      </c>
      <c r="J578" s="204">
        <f ca="1">IFERROR(__xludf.DUMMYFUNCTION("IMPORTRANGE(""https://docs.google.com/spreadsheets/d/1IYY_tgx_IHuhSq3AJ5eI5OnqOPBNLWSHKh2a30DoXe8/edit?usp=sharing"",""สุราษฎร์ธานี!J473"")"),1)</f>
        <v>1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IFERROR(__xludf.DUMMYFUNCTION("IMPORTRANGE(""https://docs.google.com/spreadsheets/d/1IYY_tgx_IHuhSq3AJ5eI5OnqOPBNLWSHKh2a30DoXe8/edit?usp=sharing"",""สุราษฎร์ธานี!I474"")"),0)</f>
        <v>0</v>
      </c>
      <c r="J579" s="204">
        <f ca="1">IFERROR(__xludf.DUMMYFUNCTION("IMPORTRANGE(""https://docs.google.com/spreadsheets/d/1IYY_tgx_IHuhSq3AJ5eI5OnqOPBNLWSHKh2a30DoXe8/edit?usp=sharing"",""สุราษฎร์ธานี!J474"")"),5)</f>
        <v>5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IFERROR(__xludf.DUMMYFUNCTION("IMPORTRANGE(""https://docs.google.com/spreadsheets/d/1IYY_tgx_IHuhSq3AJ5eI5OnqOPBNLWSHKh2a30DoXe8/edit?usp=sharing"",""สุราษฎร์ธานี!I475"")"),0)</f>
        <v>0</v>
      </c>
      <c r="J580" s="377">
        <f ca="1">IFERROR(__xludf.DUMMYFUNCTION("IMPORTRANGE(""https://docs.google.com/spreadsheets/d/1IYY_tgx_IHuhSq3AJ5eI5OnqOPBNLWSHKh2a30DoXe8/edit?usp=sharing"",""สุราษฎร์ธานี!J475"")"),0)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IFERROR(__xludf.DUMMYFUNCTION("IMPORTRANGE(""https://docs.google.com/spreadsheets/d/1IYY_tgx_IHuhSq3AJ5eI5OnqOPBNLWSHKh2a30DoXe8/edit?usp=sharing"",""สุราษฎร์ธานี!L475"")"),0)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IFERROR(__xludf.DUMMYFUNCTION("IMPORTRANGE(""https://docs.google.com/spreadsheets/d/1IYY_tgx_IHuhSq3AJ5eI5OnqOPBNLWSHKh2a30DoXe8/edit?usp=sharing"",""สุราษฎร์ธานี!M475"")"),0)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IFERROR(__xludf.DUMMYFUNCTION("IMPORTRANGE(""https://docs.google.com/spreadsheets/d/1IYY_tgx_IHuhSq3AJ5eI5OnqOPBNLWSHKh2a30DoXe8/edit?usp=sharing"",""สุราษฎร์ธานี!L476"")"),0)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IFERROR(__xludf.DUMMYFUNCTION("IMPORTRANGE(""https://docs.google.com/spreadsheets/d/1IYY_tgx_IHuhSq3AJ5eI5OnqOPBNLWSHKh2a30DoXe8/edit?usp=sharing"",""สุราษฎร์ธานี!M476"")"),0)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IFERROR(__xludf.DUMMYFUNCTION("IMPORTRANGE(""https://docs.google.com/spreadsheets/d/1IYY_tgx_IHuhSq3AJ5eI5OnqOPBNLWSHKh2a30DoXe8/edit?usp=sharing"",""สุราษฎร์ธานี!L477"")"),0)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IFERROR(__xludf.DUMMYFUNCTION("IMPORTRANGE(""https://docs.google.com/spreadsheets/d/1IYY_tgx_IHuhSq3AJ5eI5OnqOPBNLWSHKh2a30DoXe8/edit?usp=sharing"",""สุราษฎร์ธานี!M477"")"),0)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IFERROR(__xludf.DUMMYFUNCTION("IMPORTRANGE(""https://docs.google.com/spreadsheets/d/1IYY_tgx_IHuhSq3AJ5eI5OnqOPBNLWSHKh2a30DoXe8/edit?usp=sharing"",""สุราษฎร์ธานี!L478"")"),0)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IFERROR(__xludf.DUMMYFUNCTION("IMPORTRANGE(""https://docs.google.com/spreadsheets/d/1IYY_tgx_IHuhSq3AJ5eI5OnqOPBNLWSHKh2a30DoXe8/edit?usp=sharing"",""สุราษฎร์ธานี!M478"")"),0)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IFERROR(__xludf.DUMMYFUNCTION("IMPORTRANGE(""https://docs.google.com/spreadsheets/d/1IYY_tgx_IHuhSq3AJ5eI5OnqOPBNLWSHKh2a30DoXe8/edit?usp=sharing"",""สุราษฎร์ธานี!L479"")"),0)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IFERROR(__xludf.DUMMYFUNCTION("IMPORTRANGE(""https://docs.google.com/spreadsheets/d/1IYY_tgx_IHuhSq3AJ5eI5OnqOPBNLWSHKh2a30DoXe8/edit?usp=sharing"",""สุราษฎร์ธานี!M479"")"),0)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IFERROR(__xludf.DUMMYFUNCTION("IMPORTRANGE(""https://docs.google.com/spreadsheets/d/1IYY_tgx_IHuhSq3AJ5eI5OnqOPBNLWSHKh2a30DoXe8/edit?usp=sharing"",""สุราษฎร์ธานี!M480"")"),0)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IFERROR(__xludf.DUMMYFUNCTION("IMPORTRANGE(""https://docs.google.com/spreadsheets/d/1IYY_tgx_IHuhSq3AJ5eI5OnqOPBNLWSHKh2a30DoXe8/edit?usp=sharing"",""สุราษฎร์ธานี!M481"")"),0)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IFERROR(__xludf.DUMMYFUNCTION("IMPORTRANGE(""https://docs.google.com/spreadsheets/d/1IYY_tgx_IHuhSq3AJ5eI5OnqOPBNLWSHKh2a30DoXe8/edit?usp=sharing"",""สุราษฎร์ธานี!M482"")"),0)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IFERROR(__xludf.DUMMYFUNCTION("IMPORTRANGE(""https://docs.google.com/spreadsheets/d/1IYY_tgx_IHuhSq3AJ5eI5OnqOPBNLWSHKh2a30DoXe8/edit?usp=sharing"",""สุราษฎร์ธานี!M483"")"),0)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IFERROR(__xludf.DUMMYFUNCTION("IMPORTRANGE(""https://docs.google.com/spreadsheets/d/1IYY_tgx_IHuhSq3AJ5eI5OnqOPBNLWSHKh2a30DoXe8/edit?usp=sharing"",""สุราษฎร์ธานี!I484"")"),0)</f>
        <v>0</v>
      </c>
      <c r="J589" s="194">
        <f ca="1">IFERROR(__xludf.DUMMYFUNCTION("IMPORTRANGE(""https://docs.google.com/spreadsheets/d/1IYY_tgx_IHuhSq3AJ5eI5OnqOPBNLWSHKh2a30DoXe8/edit?usp=sharing"",""สุราษฎร์ธานี!J484"")"),0)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IFERROR(__xludf.DUMMYFUNCTION("IMPORTRANGE(""https://docs.google.com/spreadsheets/d/1IYY_tgx_IHuhSq3AJ5eI5OnqOPBNLWSHKh2a30DoXe8/edit?usp=sharing"",""สุราษฎร์ธานี!I485"")"),0)</f>
        <v>0</v>
      </c>
      <c r="J590" s="194">
        <f ca="1">IFERROR(__xludf.DUMMYFUNCTION("IMPORTRANGE(""https://docs.google.com/spreadsheets/d/1IYY_tgx_IHuhSq3AJ5eI5OnqOPBNLWSHKh2a30DoXe8/edit?usp=sharing"",""สุราษฎร์ธานี!J485"")"),0)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IFERROR(__xludf.DUMMYFUNCTION("IMPORTRANGE(""https://docs.google.com/spreadsheets/d/1IYY_tgx_IHuhSq3AJ5eI5OnqOPBNLWSHKh2a30DoXe8/edit?usp=sharing"",""สุราษฎร์ธานี!I486"")"),0)</f>
        <v>0</v>
      </c>
      <c r="J591" s="194">
        <f ca="1">IFERROR(__xludf.DUMMYFUNCTION("IMPORTRANGE(""https://docs.google.com/spreadsheets/d/1IYY_tgx_IHuhSq3AJ5eI5OnqOPBNLWSHKh2a30DoXe8/edit?usp=sharing"",""สุราษฎร์ธานี!J486"")"),0)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IFERROR(__xludf.DUMMYFUNCTION("IMPORTRANGE(""https://docs.google.com/spreadsheets/d/1IYY_tgx_IHuhSq3AJ5eI5OnqOPBNLWSHKh2a30DoXe8/edit?usp=sharing"",""สุราษฎร์ธานี!I487"")"),0)</f>
        <v>0</v>
      </c>
      <c r="J592" s="194">
        <f ca="1">IFERROR(__xludf.DUMMYFUNCTION("IMPORTRANGE(""https://docs.google.com/spreadsheets/d/1IYY_tgx_IHuhSq3AJ5eI5OnqOPBNLWSHKh2a30DoXe8/edit?usp=sharing"",""สุราษฎร์ธานี!J487"")"),0)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IFERROR(__xludf.DUMMYFUNCTION("IMPORTRANGE(""https://docs.google.com/spreadsheets/d/1IYY_tgx_IHuhSq3AJ5eI5OnqOPBNLWSHKh2a30DoXe8/edit?usp=sharing"",""สุราษฎร์ธานี!I488"")"),0)</f>
        <v>0</v>
      </c>
      <c r="J593" s="194">
        <f ca="1">IFERROR(__xludf.DUMMYFUNCTION("IMPORTRANGE(""https://docs.google.com/spreadsheets/d/1IYY_tgx_IHuhSq3AJ5eI5OnqOPBNLWSHKh2a30DoXe8/edit?usp=sharing"",""สุราษฎร์ธานี!J488"")"),0)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IFERROR(__xludf.DUMMYFUNCTION("IMPORTRANGE(""https://docs.google.com/spreadsheets/d/1IYY_tgx_IHuhSq3AJ5eI5OnqOPBNLWSHKh2a30DoXe8/edit?usp=sharing"",""สุราษฎร์ธานี!I489"")"),0)</f>
        <v>0</v>
      </c>
      <c r="J594" s="194">
        <f ca="1">IFERROR(__xludf.DUMMYFUNCTION("IMPORTRANGE(""https://docs.google.com/spreadsheets/d/1IYY_tgx_IHuhSq3AJ5eI5OnqOPBNLWSHKh2a30DoXe8/edit?usp=sharing"",""สุราษฎร์ธานี!J489"")"),0)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IFERROR(__xludf.DUMMYFUNCTION("IMPORTRANGE(""https://docs.google.com/spreadsheets/d/1IYY_tgx_IHuhSq3AJ5eI5OnqOPBNLWSHKh2a30DoXe8/edit?usp=sharing"",""สุราษฎร์ธานี!I490"")"),0)</f>
        <v>0</v>
      </c>
      <c r="J595" s="194">
        <f ca="1">IFERROR(__xludf.DUMMYFUNCTION("IMPORTRANGE(""https://docs.google.com/spreadsheets/d/1IYY_tgx_IHuhSq3AJ5eI5OnqOPBNLWSHKh2a30DoXe8/edit?usp=sharing"",""สุราษฎร์ธานี!J490"")"),0)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IFERROR(__xludf.DUMMYFUNCTION("IMPORTRANGE(""https://docs.google.com/spreadsheets/d/1IYY_tgx_IHuhSq3AJ5eI5OnqOPBNLWSHKh2a30DoXe8/edit?usp=sharing"",""สุราษฎร์ธานี!I491"")"),0)</f>
        <v>0</v>
      </c>
      <c r="J596" s="247">
        <f ca="1">IFERROR(__xludf.DUMMYFUNCTION("IMPORTRANGE(""https://docs.google.com/spreadsheets/d/1IYY_tgx_IHuhSq3AJ5eI5OnqOPBNLWSHKh2a30DoXe8/edit?usp=sharing"",""สุราษฎร์ธานี!J491"")"),0)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IFERROR(__xludf.DUMMYFUNCTION("IMPORTRANGE(""https://docs.google.com/spreadsheets/d/1IYY_tgx_IHuhSq3AJ5eI5OnqOPBNLWSHKh2a30DoXe8/edit?usp=sharing"",""สุราษฎร์ธานี!I492"")"),100)</f>
        <v>100</v>
      </c>
      <c r="J597" s="493">
        <f ca="1">IFERROR(__xludf.DUMMYFUNCTION("IMPORTRANGE(""https://docs.google.com/spreadsheets/d/1IYY_tgx_IHuhSq3AJ5eI5OnqOPBNLWSHKh2a30DoXe8/edit?usp=sharing"",""สุราษฎร์ธานี!J492"")"),0)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IFERROR(__xludf.DUMMYFUNCTION("IMPORTRANGE(""https://docs.google.com/spreadsheets/d/1IYY_tgx_IHuhSq3AJ5eI5OnqOPBNLWSHKh2a30DoXe8/edit?usp=sharing"",""สุราษฎร์ธานี!L492"")"),8100)</f>
        <v>8100</v>
      </c>
      <c r="M597" s="418"/>
      <c r="N597" s="418">
        <f ca="1">IFERROR(__xludf.DUMMYFUNCTION("IMPORTRANGE(""https://docs.google.com/spreadsheets/d/1IYY_tgx_IHuhSq3AJ5eI5OnqOPBNLWSHKh2a30DoXe8/edit?usp=sharing"",""สุราษฎร์ธานี!M492"")"),2600)</f>
        <v>2600</v>
      </c>
      <c r="O597" s="418">
        <f t="shared" ref="O597:O601" ca="1" si="126">+IF(L597&gt;0,N597*100/L597,0)</f>
        <v>32.098765432098766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IFERROR(__xludf.DUMMYFUNCTION("IMPORTRANGE(""https://docs.google.com/spreadsheets/d/1IYY_tgx_IHuhSq3AJ5eI5OnqOPBNLWSHKh2a30DoXe8/edit?usp=sharing"",""สุราษฎร์ธานี!L493"")"),0)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IFERROR(__xludf.DUMMYFUNCTION("IMPORTRANGE(""https://docs.google.com/spreadsheets/d/1IYY_tgx_IHuhSq3AJ5eI5OnqOPBNLWSHKh2a30DoXe8/edit?usp=sharing"",""สุราษฎร์ธานี!M493"")"),0)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IFERROR(__xludf.DUMMYFUNCTION("IMPORTRANGE(""https://docs.google.com/spreadsheets/d/1IYY_tgx_IHuhSq3AJ5eI5OnqOPBNLWSHKh2a30DoXe8/edit?usp=sharing"",""สุราษฎร์ธานี!L494"")"),8100)</f>
        <v>8100</v>
      </c>
      <c r="M599" s="169"/>
      <c r="N599" s="175">
        <f ca="1">IFERROR(__xludf.DUMMYFUNCTION("IMPORTRANGE(""https://docs.google.com/spreadsheets/d/1IYY_tgx_IHuhSq3AJ5eI5OnqOPBNLWSHKh2a30DoXe8/edit?usp=sharing"",""สุราษฎร์ธานี!M494"")"),2600)</f>
        <v>2600</v>
      </c>
      <c r="O599" s="175">
        <f t="shared" ca="1" si="126"/>
        <v>32.098765432098766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IFERROR(__xludf.DUMMYFUNCTION("IMPORTRANGE(""https://docs.google.com/spreadsheets/d/1IYY_tgx_IHuhSq3AJ5eI5OnqOPBNLWSHKh2a30DoXe8/edit?usp=sharing"",""สุราษฎร์ธานี!L495"")"),0)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IFERROR(__xludf.DUMMYFUNCTION("IMPORTRANGE(""https://docs.google.com/spreadsheets/d/1IYY_tgx_IHuhSq3AJ5eI5OnqOPBNLWSHKh2a30DoXe8/edit?usp=sharing"",""สุราษฎร์ธานี!M495"")"),0)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IFERROR(__xludf.DUMMYFUNCTION("IMPORTRANGE(""https://docs.google.com/spreadsheets/d/1IYY_tgx_IHuhSq3AJ5eI5OnqOPBNLWSHKh2a30DoXe8/edit?usp=sharing"",""สุราษฎร์ธานี!L496"")"),8100)</f>
        <v>8100</v>
      </c>
      <c r="M601" s="175"/>
      <c r="N601" s="175">
        <f ca="1">IFERROR(__xludf.DUMMYFUNCTION("IMPORTRANGE(""https://docs.google.com/spreadsheets/d/1IYY_tgx_IHuhSq3AJ5eI5OnqOPBNLWSHKh2a30DoXe8/edit?usp=sharing"",""สุราษฎร์ธานี!M496"")"),2600)</f>
        <v>2600</v>
      </c>
      <c r="O601" s="175">
        <f t="shared" ca="1" si="126"/>
        <v>32.098765432098766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IFERROR(__xludf.DUMMYFUNCTION("IMPORTRANGE(""https://docs.google.com/spreadsheets/d/1IYY_tgx_IHuhSq3AJ5eI5OnqOPBNLWSHKh2a30DoXe8/edit?usp=sharing"",""สุราษฎร์ธานี!M497"")"),0)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IFERROR(__xludf.DUMMYFUNCTION("IMPORTRANGE(""https://docs.google.com/spreadsheets/d/1IYY_tgx_IHuhSq3AJ5eI5OnqOPBNLWSHKh2a30DoXe8/edit?usp=sharing"",""สุราษฎร์ธานี!M498"")"),0)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IFERROR(__xludf.DUMMYFUNCTION("IMPORTRANGE(""https://docs.google.com/spreadsheets/d/1IYY_tgx_IHuhSq3AJ5eI5OnqOPBNLWSHKh2a30DoXe8/edit?usp=sharing"",""สุราษฎร์ธานี!M499"")"),0)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IFERROR(__xludf.DUMMYFUNCTION("IMPORTRANGE(""https://docs.google.com/spreadsheets/d/1IYY_tgx_IHuhSq3AJ5eI5OnqOPBNLWSHKh2a30DoXe8/edit?usp=sharing"",""สุราษฎร์ธานี!M500"")"),2600)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IFERROR(__xludf.DUMMYFUNCTION("IMPORTRANGE(""https://docs.google.com/spreadsheets/d/1IYY_tgx_IHuhSq3AJ5eI5OnqOPBNLWSHKh2a30DoXe8/edit?usp=sharing"",""สุราษฎร์ธานี!J502"")"),0)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IFERROR(__xludf.DUMMYFUNCTION("IMPORTRANGE(""https://docs.google.com/spreadsheets/d/1IYY_tgx_IHuhSq3AJ5eI5OnqOPBNLWSHKh2a30DoXe8/edit?usp=sharing"",""สุราษฎร์ธานี!J503"")"),1)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IFERROR(__xludf.DUMMYFUNCTION("IMPORTRANGE(""https://docs.google.com/spreadsheets/d/1IYY_tgx_IHuhSq3AJ5eI5OnqOPBNLWSHKh2a30DoXe8/edit?usp=sharing"",""สุราษฎร์ธานี!J166"")"),0)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IFERROR(__xludf.DUMMYFUNCTION("IMPORTRANGE(""https://docs.google.com/spreadsheets/d/1IYY_tgx_IHuhSq3AJ5eI5OnqOPBNLWSHKh2a30DoXe8/edit?usp=sharing"",""สุราษฎร์ธานี!J166"")"),0)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IFERROR(__xludf.DUMMYFUNCTION("IMPORTRANGE(""https://docs.google.com/spreadsheets/d/1IYY_tgx_IHuhSq3AJ5eI5OnqOPBNLWSHKh2a30DoXe8/edit?usp=sharing"",""สุราษฎร์ธานี!I506"")"),100)</f>
        <v>100</v>
      </c>
      <c r="J611" s="166">
        <f ca="1">IFERROR(__xludf.DUMMYFUNCTION("IMPORTRANGE(""https://docs.google.com/spreadsheets/d/1IYY_tgx_IHuhSq3AJ5eI5OnqOPBNLWSHKh2a30DoXe8/edit?usp=sharing"",""สุราษฎร์ธานี!J506"")"),0)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IFERROR(__xludf.DUMMYFUNCTION("IMPORTRANGE(""https://docs.google.com/spreadsheets/d/1IYY_tgx_IHuhSq3AJ5eI5OnqOPBNLWSHKh2a30DoXe8/edit?usp=sharing"",""สุราษฎร์ธานี!I507"")"),0)</f>
        <v>0</v>
      </c>
      <c r="J612" s="204">
        <f ca="1">IFERROR(__xludf.DUMMYFUNCTION("IMPORTRANGE(""https://docs.google.com/spreadsheets/d/1IYY_tgx_IHuhSq3AJ5eI5OnqOPBNLWSHKh2a30DoXe8/edit?usp=sharing"",""สุราษฎร์ธานี!J507"")"),45.68)</f>
        <v>45.68</v>
      </c>
      <c r="K612" s="167">
        <f t="shared" ca="1" si="127"/>
        <v>45.68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IFERROR(__xludf.DUMMYFUNCTION("IMPORTRANGE(""https://docs.google.com/spreadsheets/d/1IYY_tgx_IHuhSq3AJ5eI5OnqOPBNLWSHKh2a30DoXe8/edit?usp=sharing"",""สุราษฎร์ธานี!I508"")"),0)</f>
        <v>0</v>
      </c>
      <c r="J613" s="204">
        <f ca="1">IFERROR(__xludf.DUMMYFUNCTION("IMPORTRANGE(""https://docs.google.com/spreadsheets/d/1IYY_tgx_IHuhSq3AJ5eI5OnqOPBNLWSHKh2a30DoXe8/edit?usp=sharing"",""สุราษฎร์ธานี!J508"")"),0)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IFERROR(__xludf.DUMMYFUNCTION("IMPORTRANGE(""https://docs.google.com/spreadsheets/d/1IYY_tgx_IHuhSq3AJ5eI5OnqOPBNLWSHKh2a30DoXe8/edit?usp=sharing"",""สุราษฎร์ธานี!I509"")"),0)</f>
        <v>0</v>
      </c>
      <c r="J614" s="204">
        <f ca="1">IFERROR(__xludf.DUMMYFUNCTION("IMPORTRANGE(""https://docs.google.com/spreadsheets/d/1IYY_tgx_IHuhSq3AJ5eI5OnqOPBNLWSHKh2a30DoXe8/edit?usp=sharing"",""สุราษฎร์ธานี!J509"")"),0)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IFERROR(__xludf.DUMMYFUNCTION("IMPORTRANGE(""https://docs.google.com/spreadsheets/d/1IYY_tgx_IHuhSq3AJ5eI5OnqOPBNLWSHKh2a30DoXe8/edit?usp=sharing"",""สุราษฎร์ธานี!I510"")"),0)</f>
        <v>0</v>
      </c>
      <c r="J615" s="204">
        <f ca="1">IFERROR(__xludf.DUMMYFUNCTION("IMPORTRANGE(""https://docs.google.com/spreadsheets/d/1IYY_tgx_IHuhSq3AJ5eI5OnqOPBNLWSHKh2a30DoXe8/edit?usp=sharing"",""สุราษฎร์ธานี!J510"")"),0)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IFERROR(__xludf.DUMMYFUNCTION("IMPORTRANGE(""https://docs.google.com/spreadsheets/d/1IYY_tgx_IHuhSq3AJ5eI5OnqOPBNLWSHKh2a30DoXe8/edit?usp=sharing"",""สุราษฎร์ธานี!I511"")"),0)</f>
        <v>0</v>
      </c>
      <c r="J616" s="204">
        <f ca="1">IFERROR(__xludf.DUMMYFUNCTION("IMPORTRANGE(""https://docs.google.com/spreadsheets/d/1IYY_tgx_IHuhSq3AJ5eI5OnqOPBNLWSHKh2a30DoXe8/edit?usp=sharing"",""สุราษฎร์ธานี!J511"")"),0)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IFERROR(__xludf.DUMMYFUNCTION("IMPORTRANGE(""https://docs.google.com/spreadsheets/d/1IYY_tgx_IHuhSq3AJ5eI5OnqOPBNLWSHKh2a30DoXe8/edit?usp=sharing"",""สุราษฎร์ธานี!I512"")"),0)</f>
        <v>0</v>
      </c>
      <c r="J617" s="194">
        <f ca="1">IFERROR(__xludf.DUMMYFUNCTION("IMPORTRANGE(""https://docs.google.com/spreadsheets/d/1IYY_tgx_IHuhSq3AJ5eI5OnqOPBNLWSHKh2a30DoXe8/edit?usp=sharing"",""สุราษฎร์ธานี!J512"")"),0)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IFERROR(__xludf.DUMMYFUNCTION("IMPORTRANGE(""https://docs.google.com/spreadsheets/d/1IYY_tgx_IHuhSq3AJ5eI5OnqOPBNLWSHKh2a30DoXe8/edit?usp=sharing"",""สุราษฎร์ธานี!I513"")"),0)</f>
        <v>0</v>
      </c>
      <c r="J618" s="195">
        <f ca="1">IFERROR(__xludf.DUMMYFUNCTION("IMPORTRANGE(""https://docs.google.com/spreadsheets/d/1IYY_tgx_IHuhSq3AJ5eI5OnqOPBNLWSHKh2a30DoXe8/edit?usp=sharing"",""สุราษฎร์ธานี!J513"")"),0)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IFERROR(__xludf.DUMMYFUNCTION("IMPORTRANGE(""https://docs.google.com/spreadsheets/d/1IYY_tgx_IHuhSq3AJ5eI5OnqOPBNLWSHKh2a30DoXe8/edit?usp=sharing"",""สุราษฎร์ธานี!I514"")"),0)</f>
        <v>0</v>
      </c>
      <c r="J619" s="195">
        <f ca="1">IFERROR(__xludf.DUMMYFUNCTION("IMPORTRANGE(""https://docs.google.com/spreadsheets/d/1IYY_tgx_IHuhSq3AJ5eI5OnqOPBNLWSHKh2a30DoXe8/edit?usp=sharing"",""สุราษฎร์ธานี!J514"")"),0)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IFERROR(__xludf.DUMMYFUNCTION("IMPORTRANGE(""https://docs.google.com/spreadsheets/d/1IYY_tgx_IHuhSq3AJ5eI5OnqOPBNLWSHKh2a30DoXe8/edit?usp=sharing"",""สุราษฎร์ธานี!I515"")"),0)</f>
        <v>0</v>
      </c>
      <c r="J620" s="209">
        <f ca="1">IFERROR(__xludf.DUMMYFUNCTION("IMPORTRANGE(""https://docs.google.com/spreadsheets/d/1IYY_tgx_IHuhSq3AJ5eI5OnqOPBNLWSHKh2a30DoXe8/edit?usp=sharing"",""สุราษฎร์ธานี!J515"")"),0)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IFERROR(__xludf.DUMMYFUNCTION("IMPORTRANGE(""https://docs.google.com/spreadsheets/d/1IYY_tgx_IHuhSq3AJ5eI5OnqOPBNLWSHKh2a30DoXe8/edit?usp=sharing"",""สุราษฎร์ธานี!I516"")"),0)</f>
        <v>0</v>
      </c>
      <c r="J621" s="209">
        <f ca="1">IFERROR(__xludf.DUMMYFUNCTION("IMPORTRANGE(""https://docs.google.com/spreadsheets/d/1IYY_tgx_IHuhSq3AJ5eI5OnqOPBNLWSHKh2a30DoXe8/edit?usp=sharing"",""สุราษฎร์ธานี!J516"")"),0)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IFERROR(__xludf.DUMMYFUNCTION("IMPORTRANGE(""https://docs.google.com/spreadsheets/d/1IYY_tgx_IHuhSq3AJ5eI5OnqOPBNLWSHKh2a30DoXe8/edit?usp=sharing"",""สุราษฎร์ธานี!I517"")"),0)</f>
        <v>0</v>
      </c>
      <c r="J622" s="195">
        <f ca="1">IFERROR(__xludf.DUMMYFUNCTION("IMPORTRANGE(""https://docs.google.com/spreadsheets/d/1IYY_tgx_IHuhSq3AJ5eI5OnqOPBNLWSHKh2a30DoXe8/edit?usp=sharing"",""สุราษฎร์ธานี!J517"")"),0)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IFERROR(__xludf.DUMMYFUNCTION("IMPORTRANGE(""https://docs.google.com/spreadsheets/d/1IYY_tgx_IHuhSq3AJ5eI5OnqOPBNLWSHKh2a30DoXe8/edit?usp=sharing"",""สุราษฎร์ธานี!I518"")"),0)</f>
        <v>0</v>
      </c>
      <c r="J623" s="195">
        <f ca="1">IFERROR(__xludf.DUMMYFUNCTION("IMPORTRANGE(""https://docs.google.com/spreadsheets/d/1IYY_tgx_IHuhSq3AJ5eI5OnqOPBNLWSHKh2a30DoXe8/edit?usp=sharing"",""สุราษฎร์ธานี!J518"")"),0)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IFERROR(__xludf.DUMMYFUNCTION("IMPORTRANGE(""https://docs.google.com/spreadsheets/d/1IYY_tgx_IHuhSq3AJ5eI5OnqOPBNLWSHKh2a30DoXe8/edit?usp=sharing"",""สุราษฎร์ธานี!I519"")"),0)</f>
        <v>0</v>
      </c>
      <c r="J624" s="194">
        <f ca="1">IFERROR(__xludf.DUMMYFUNCTION("IMPORTRANGE(""https://docs.google.com/spreadsheets/d/1IYY_tgx_IHuhSq3AJ5eI5OnqOPBNLWSHKh2a30DoXe8/edit?usp=sharing"",""สุราษฎร์ธานี!J519"")"),0)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IFERROR(__xludf.DUMMYFUNCTION("IMPORTRANGE(""https://docs.google.com/spreadsheets/d/1IYY_tgx_IHuhSq3AJ5eI5OnqOPBNLWSHKh2a30DoXe8/edit?usp=sharing"",""สุราษฎร์ธานี!I520"")"),0)</f>
        <v>0</v>
      </c>
      <c r="J625" s="195">
        <f ca="1">IFERROR(__xludf.DUMMYFUNCTION("IMPORTRANGE(""https://docs.google.com/spreadsheets/d/1IYY_tgx_IHuhSq3AJ5eI5OnqOPBNLWSHKh2a30DoXe8/edit?usp=sharing"",""สุราษฎร์ธานี!J520"")"),0)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IFERROR(__xludf.DUMMYFUNCTION("IMPORTRANGE(""https://docs.google.com/spreadsheets/d/1IYY_tgx_IHuhSq3AJ5eI5OnqOPBNLWSHKh2a30DoXe8/edit?usp=sharing"",""สุราษฎร์ธานี!I521"")"),0)</f>
        <v>0</v>
      </c>
      <c r="J626" s="195">
        <f ca="1">IFERROR(__xludf.DUMMYFUNCTION("IMPORTRANGE(""https://docs.google.com/spreadsheets/d/1IYY_tgx_IHuhSq3AJ5eI5OnqOPBNLWSHKh2a30DoXe8/edit?usp=sharing"",""สุราษฎร์ธานี!J521"")"),0)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IFERROR(__xludf.DUMMYFUNCTION("IMPORTRANGE(""https://docs.google.com/spreadsheets/d/1IYY_tgx_IHuhSq3AJ5eI5OnqOPBNLWSHKh2a30DoXe8/edit?usp=sharing"",""สุราษฎร์ธานี!I523"")"),4091300.88)</f>
        <v>4091300.88</v>
      </c>
      <c r="J628" s="347">
        <f ca="1">IFERROR(__xludf.DUMMYFUNCTION("IMPORTRANGE(""https://docs.google.com/spreadsheets/d/1IYY_tgx_IHuhSq3AJ5eI5OnqOPBNLWSHKh2a30DoXe8/edit?usp=sharing"",""สุราษฎร์ธานี!J523"")"),836204.45)</f>
        <v>836204.45</v>
      </c>
      <c r="K628" s="348">
        <f t="shared" ref="K628:K635" ca="1" si="129">IF(I628&gt;0,J628*100/I628,0)</f>
        <v>20.438595804276318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IFERROR(__xludf.DUMMYFUNCTION("IMPORTRANGE(""https://docs.google.com/spreadsheets/d/1IYY_tgx_IHuhSq3AJ5eI5OnqOPBNLWSHKh2a30DoXe8/edit?usp=sharing"",""สุราษฎร์ธานี!I524"")"),252)</f>
        <v>252</v>
      </c>
      <c r="J629" s="347">
        <f ca="1">IFERROR(__xludf.DUMMYFUNCTION("IMPORTRANGE(""https://docs.google.com/spreadsheets/d/1IYY_tgx_IHuhSq3AJ5eI5OnqOPBNLWSHKh2a30DoXe8/edit?usp=sharing"",""สุราษฎร์ธานี!J524"")"),49)</f>
        <v>49</v>
      </c>
      <c r="K629" s="348">
        <f t="shared" ca="1" si="129"/>
        <v>19.444444444444443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IFERROR(__xludf.DUMMYFUNCTION("IMPORTRANGE(""https://docs.google.com/spreadsheets/d/1IYY_tgx_IHuhSq3AJ5eI5OnqOPBNLWSHKh2a30DoXe8/edit?usp=sharing"",""สุราษฎร์ธานี!I525"")"),2294817.46)</f>
        <v>2294817.46</v>
      </c>
      <c r="J630" s="347">
        <f ca="1">IFERROR(__xludf.DUMMYFUNCTION("IMPORTRANGE(""https://docs.google.com/spreadsheets/d/1IYY_tgx_IHuhSq3AJ5eI5OnqOPBNLWSHKh2a30DoXe8/edit?usp=sharing"",""สุราษฎร์ธานี!J525"")"),384454.86)</f>
        <v>384454.86</v>
      </c>
      <c r="K630" s="348">
        <f t="shared" ca="1" si="129"/>
        <v>16.753178268044032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IFERROR(__xludf.DUMMYFUNCTION("IMPORTRANGE(""https://docs.google.com/spreadsheets/d/1IYY_tgx_IHuhSq3AJ5eI5OnqOPBNLWSHKh2a30DoXe8/edit?usp=sharing"",""สุราษฎร์ธานี!I526"")"),72)</f>
        <v>72</v>
      </c>
      <c r="J631" s="347">
        <f ca="1">IFERROR(__xludf.DUMMYFUNCTION("IMPORTRANGE(""https://docs.google.com/spreadsheets/d/1IYY_tgx_IHuhSq3AJ5eI5OnqOPBNLWSHKh2a30DoXe8/edit?usp=sharing"",""สุราษฎร์ธานี!J526"")"),55)</f>
        <v>55</v>
      </c>
      <c r="K631" s="348">
        <f t="shared" ca="1" si="129"/>
        <v>76.388888888888886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IFERROR(__xludf.DUMMYFUNCTION("IMPORTRANGE(""https://docs.google.com/spreadsheets/d/1IYY_tgx_IHuhSq3AJ5eI5OnqOPBNLWSHKh2a30DoXe8/edit?usp=sharing"",""สุราษฎร์ธานี!I527"")"),0)</f>
        <v>0</v>
      </c>
      <c r="J632" s="347">
        <f ca="1">IFERROR(__xludf.DUMMYFUNCTION("IMPORTRANGE(""https://docs.google.com/spreadsheets/d/1IYY_tgx_IHuhSq3AJ5eI5OnqOPBNLWSHKh2a30DoXe8/edit?usp=sharing"",""สุราษฎร์ธานี!J527"")"),0)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IFERROR(__xludf.DUMMYFUNCTION("IMPORTRANGE(""https://docs.google.com/spreadsheets/d/1IYY_tgx_IHuhSq3AJ5eI5OnqOPBNLWSHKh2a30DoXe8/edit?usp=sharing"",""สุราษฎร์ธานี!I528"")"),0)</f>
        <v>0</v>
      </c>
      <c r="J633" s="347">
        <f ca="1">IFERROR(__xludf.DUMMYFUNCTION("IMPORTRANGE(""https://docs.google.com/spreadsheets/d/1IYY_tgx_IHuhSq3AJ5eI5OnqOPBNLWSHKh2a30DoXe8/edit?usp=sharing"",""สุราษฎร์ธานี!J528"")"),0)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IFERROR(__xludf.DUMMYFUNCTION("IMPORTRANGE(""https://docs.google.com/spreadsheets/d/1IYY_tgx_IHuhSq3AJ5eI5OnqOPBNLWSHKh2a30DoXe8/edit?usp=sharing"",""สุราษฎร์ธานี!I529"")"),5000000)</f>
        <v>5000000</v>
      </c>
      <c r="J634" s="347">
        <f ca="1">IFERROR(__xludf.DUMMYFUNCTION("IMPORTRANGE(""https://docs.google.com/spreadsheets/d/1IYY_tgx_IHuhSq3AJ5eI5OnqOPBNLWSHKh2a30DoXe8/edit?usp=sharing"",""สุราษฎร์ธานี!J529"")"),750000)</f>
        <v>750000</v>
      </c>
      <c r="K634" s="348">
        <f t="shared" ca="1" si="129"/>
        <v>15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IFERROR(__xludf.DUMMYFUNCTION("IMPORTRANGE(""https://docs.google.com/spreadsheets/d/1IYY_tgx_IHuhSq3AJ5eI5OnqOPBNLWSHKh2a30DoXe8/edit?usp=sharing"",""สุราษฎร์ธานี!I530"")"),100)</f>
        <v>100</v>
      </c>
      <c r="J635" s="517">
        <f ca="1">IFERROR(__xludf.DUMMYFUNCTION("IMPORTRANGE(""https://docs.google.com/spreadsheets/d/1IYY_tgx_IHuhSq3AJ5eI5OnqOPBNLWSHKh2a30DoXe8/edit?usp=sharing"",""สุราษฎร์ธานี!J530"")"),15)</f>
        <v>15</v>
      </c>
      <c r="K635" s="492">
        <f t="shared" ca="1" si="129"/>
        <v>15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N5" sqref="N5:P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10" width="13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238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9995627.8000000007</v>
      </c>
      <c r="M8" s="23">
        <f t="shared" ca="1" si="0"/>
        <v>8193598</v>
      </c>
      <c r="N8" s="23">
        <f t="shared" ca="1" si="0"/>
        <v>2694146.13</v>
      </c>
      <c r="O8" s="22">
        <f t="shared" ref="O8:O16" ca="1" si="1">IF(L8&gt;0,N8*100/L8,0)</f>
        <v>26.953245798127856</v>
      </c>
      <c r="P8" s="22">
        <f t="shared" ref="P8:P16" ca="1" si="2">IF(M8&gt;0,N8*100/M8,0)</f>
        <v>32.881111936416701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9995627.8000000007</v>
      </c>
      <c r="M10" s="30">
        <f t="shared" ca="1" si="4"/>
        <v>8193598</v>
      </c>
      <c r="N10" s="30">
        <f t="shared" ca="1" si="4"/>
        <v>2694146.13</v>
      </c>
      <c r="O10" s="29">
        <f t="shared" ca="1" si="1"/>
        <v>26.953245798127856</v>
      </c>
      <c r="P10" s="29">
        <f t="shared" ca="1" si="2"/>
        <v>32.881111936416701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4494057.8</v>
      </c>
      <c r="M12" s="38">
        <f t="shared" ca="1" si="6"/>
        <v>2692028</v>
      </c>
      <c r="N12" s="38">
        <f t="shared" ca="1" si="6"/>
        <v>2192576.13</v>
      </c>
      <c r="O12" s="38">
        <f t="shared" ca="1" si="1"/>
        <v>48.788338458842254</v>
      </c>
      <c r="P12" s="38">
        <f t="shared" ca="1" si="2"/>
        <v>81.447003151527397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1878000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2616057.7999999998</v>
      </c>
      <c r="M14" s="38">
        <f t="shared" si="8"/>
        <v>0</v>
      </c>
      <c r="N14" s="38">
        <f t="shared" ca="1" si="8"/>
        <v>405227.36</v>
      </c>
      <c r="O14" s="41">
        <f t="shared" ca="1" si="1"/>
        <v>15.490000259168587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5501570</v>
      </c>
      <c r="M16" s="38">
        <f t="shared" ca="1" si="10"/>
        <v>5501570</v>
      </c>
      <c r="N16" s="38">
        <f t="shared" ca="1" si="10"/>
        <v>501570</v>
      </c>
      <c r="O16" s="50">
        <f t="shared" ca="1" si="1"/>
        <v>9.1168520985827683</v>
      </c>
      <c r="P16" s="50">
        <f t="shared" ca="1" si="2"/>
        <v>9.1168520985827683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8774955</v>
      </c>
      <c r="M18" s="23">
        <f t="shared" ca="1" si="11"/>
        <v>8193598</v>
      </c>
      <c r="N18" s="23">
        <f t="shared" ca="1" si="11"/>
        <v>2288918.77</v>
      </c>
      <c r="O18" s="22">
        <f t="shared" ref="O18:O20" ca="1" si="12">IF(L18&gt;0,N18*100/L18,0)</f>
        <v>26.084678155044671</v>
      </c>
      <c r="P18" s="22">
        <f t="shared" ref="P18:P26" ca="1" si="13">IF(M18&gt;0,N18*100/M18,0)</f>
        <v>27.935453630993369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8774955</v>
      </c>
      <c r="M20" s="30">
        <f t="shared" ca="1" si="15"/>
        <v>8193598</v>
      </c>
      <c r="N20" s="30">
        <f t="shared" ca="1" si="15"/>
        <v>2288918.77</v>
      </c>
      <c r="O20" s="29">
        <f t="shared" ca="1" si="12"/>
        <v>26.084678155044671</v>
      </c>
      <c r="P20" s="29">
        <f t="shared" ca="1" si="13"/>
        <v>27.935453630993369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3273385</v>
      </c>
      <c r="M22" s="42">
        <f t="shared" ca="1" si="18"/>
        <v>2692028</v>
      </c>
      <c r="N22" s="41">
        <f t="shared" ca="1" si="18"/>
        <v>1787348.77</v>
      </c>
      <c r="O22" s="41">
        <f t="shared" ca="1" si="17"/>
        <v>54.602461060950667</v>
      </c>
      <c r="P22" s="41">
        <f t="shared" ca="1" si="13"/>
        <v>66.394137430962829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1878000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1395385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5501570</v>
      </c>
      <c r="M26" s="50">
        <f t="shared" ca="1" si="22"/>
        <v>5501570</v>
      </c>
      <c r="N26" s="50">
        <f t="shared" ca="1" si="22"/>
        <v>501570</v>
      </c>
      <c r="O26" s="50">
        <f t="shared" ca="1" si="17"/>
        <v>9.1168520985827683</v>
      </c>
      <c r="P26" s="50">
        <f t="shared" ca="1" si="13"/>
        <v>9.1168520985827683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1220672.8</v>
      </c>
      <c r="M28" s="23">
        <f t="shared" si="23"/>
        <v>0</v>
      </c>
      <c r="N28" s="23">
        <f t="shared" ca="1" si="23"/>
        <v>405227.36</v>
      </c>
      <c r="O28" s="22">
        <f t="shared" ref="O28:O30" ca="1" si="24">IF(L28&gt;0,N28*100/L28,0)</f>
        <v>33.197050020283896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1220672.8</v>
      </c>
      <c r="M30" s="30">
        <f t="shared" si="27"/>
        <v>0</v>
      </c>
      <c r="N30" s="30">
        <f t="shared" ca="1" si="27"/>
        <v>405227.36</v>
      </c>
      <c r="O30" s="29">
        <f t="shared" ca="1" si="24"/>
        <v>33.197050020283896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1220672.8</v>
      </c>
      <c r="M32" s="41">
        <f t="shared" si="30"/>
        <v>0</v>
      </c>
      <c r="N32" s="41">
        <f t="shared" ca="1" si="30"/>
        <v>405227.36</v>
      </c>
      <c r="O32" s="41">
        <f t="shared" ca="1" si="29"/>
        <v>33.197050020283896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1220672.8</v>
      </c>
      <c r="M34" s="41">
        <f t="shared" si="32"/>
        <v>0</v>
      </c>
      <c r="N34" s="41">
        <f t="shared" ca="1" si="32"/>
        <v>405227.36</v>
      </c>
      <c r="O34" s="41">
        <f t="shared" ca="1" si="29"/>
        <v>33.197050020283896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8774955</v>
      </c>
      <c r="M37" s="55">
        <f t="shared" ca="1" si="33"/>
        <v>8193598</v>
      </c>
      <c r="N37" s="55">
        <f t="shared" ca="1" si="33"/>
        <v>2288918.77</v>
      </c>
      <c r="O37" s="56">
        <f t="shared" ca="1" si="29"/>
        <v>26.084678155044671</v>
      </c>
      <c r="P37" s="56">
        <f t="shared" ca="1" si="25"/>
        <v>27.935453630993369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651800</v>
      </c>
      <c r="M41" s="79">
        <f t="shared" ca="1" si="34"/>
        <v>488800</v>
      </c>
      <c r="N41" s="79">
        <f t="shared" ca="1" si="34"/>
        <v>371910.2</v>
      </c>
      <c r="O41" s="78">
        <f t="shared" ref="O41:O43" ca="1" si="35">IF(L41&gt;0,N41*100/L41,0)</f>
        <v>57.058944461491258</v>
      </c>
      <c r="P41" s="78">
        <f t="shared" ref="P41:P43" ca="1" si="36">IF(M41&gt;0,N41*100/M41,0)</f>
        <v>76.086374795417342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651800</v>
      </c>
      <c r="M43" s="79">
        <f t="shared" ca="1" si="38"/>
        <v>488800</v>
      </c>
      <c r="N43" s="79">
        <f t="shared" ca="1" si="38"/>
        <v>371910.2</v>
      </c>
      <c r="O43" s="78">
        <f t="shared" ca="1" si="35"/>
        <v>57.058944461491258</v>
      </c>
      <c r="P43" s="78">
        <f t="shared" ca="1" si="36"/>
        <v>76.086374795417342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651800</v>
      </c>
      <c r="M45" s="91">
        <f ca="1">IFERROR(__xludf.DUMMYFUNCTION("IMPORTRANGE(""https://docs.google.com/spreadsheets/d/1Yj_ptqi66GCucihVvJfMjLAmec39IyEx_6qawtMGysU/edit?usp=sharing"",""สบก!Q81"")"),488800)</f>
        <v>488800</v>
      </c>
      <c r="N45" s="91">
        <f ca="1">IFERROR(__xludf.DUMMYFUNCTION("IMPORTRANGE(""https://docs.google.com/spreadsheets/d/1Yj_ptqi66GCucihVvJfMjLAmec39IyEx_6qawtMGysU/edit?usp=sharing"",""สบก!R81"")"),371910.2)</f>
        <v>371910.2</v>
      </c>
      <c r="O45" s="92">
        <f ca="1">IF(L45&gt;0,N45*100/L45,0)</f>
        <v>57.058944461491258</v>
      </c>
      <c r="P45" s="92">
        <f ca="1">IF(M45&gt;0,N45*100/M45,0)</f>
        <v>76.086374795417342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IFERROR(__xludf.DUMMYFUNCTION("IMPORTRANGE(""https://docs.google.com/spreadsheets/d/1Yj_ptqi66GCucihVvJfMjLAmec39IyEx_6qawtMGysU/edit?usp=sharing"",""สบก!M81"")"),651800)</f>
        <v>651800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IFERROR(__xludf.DUMMYFUNCTION("IMPORTRANGE(""https://docs.google.com/spreadsheets/d/1Yj_ptqi66GCucihVvJfMjLAmec39IyEx_6qawtMGysU/edit?usp=sharing"",""สบก!N81"")"),0)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IFERROR(__xludf.DUMMYFUNCTION("IMPORTRANGE(""https://docs.google.com/spreadsheets/d/1Yj_ptqi66GCucihVvJfMjLAmec39IyEx_6qawtMGysU/edit?usp=sharing"",""สบก!O81"")"),0)</f>
        <v>0</v>
      </c>
      <c r="M49" s="101"/>
      <c r="N49" s="91">
        <f ca="1">IFERROR(__xludf.DUMMYFUNCTION("IMPORTRANGE(""https://docs.google.com/spreadsheets/d/1Yj_ptqi66GCucihVvJfMjLAmec39IyEx_6qawtMGysU/edit?usp=sharing"",""สบก!S81"")"),0)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471548</v>
      </c>
      <c r="N53" s="125">
        <f t="shared" ca="1" si="39"/>
        <v>284890.3</v>
      </c>
      <c r="O53" s="124">
        <f t="shared" ref="O53:O55" ca="1" si="40">IF(L53&gt;0,N53*100/L53,0)</f>
        <v>47.481716666666664</v>
      </c>
      <c r="P53" s="124">
        <f t="shared" ref="P53:P55" ca="1" si="41">IF(M53&gt;0,N53*100/M53,0)</f>
        <v>60.415970378413228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471548</v>
      </c>
      <c r="N55" s="125">
        <f t="shared" ca="1" si="43"/>
        <v>284890.3</v>
      </c>
      <c r="O55" s="124">
        <f t="shared" ca="1" si="40"/>
        <v>47.481716666666664</v>
      </c>
      <c r="P55" s="124">
        <f t="shared" ca="1" si="41"/>
        <v>60.415970378413228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IFERROR(__xludf.DUMMYFUNCTION("IMPORTRANGE(""https://docs.google.com/spreadsheets/d/1Yj_ptqi66GCucihVvJfMjLAmec39IyEx_6qawtMGysU/edit?usp=sharing"",""สบก!Z81"")"),471548)</f>
        <v>471548</v>
      </c>
      <c r="N57" s="91">
        <f ca="1">IFERROR(__xludf.DUMMYFUNCTION("IMPORTRANGE(""https://docs.google.com/spreadsheets/d/1Yj_ptqi66GCucihVvJfMjLAmec39IyEx_6qawtMGysU/edit?usp=sharing"",""สบก!AA81"")"),284890.3)</f>
        <v>284890.3</v>
      </c>
      <c r="O57" s="92">
        <f ca="1">IF(L57&gt;0,N57*100/L57,0)</f>
        <v>47.481716666666664</v>
      </c>
      <c r="P57" s="92">
        <f ca="1">IF(M57&gt;0,N57*100/M57,0)</f>
        <v>60.415970378413228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IFERROR(__xludf.DUMMYFUNCTION("IMPORTRANGE(""https://docs.google.com/spreadsheets/d/1Yj_ptqi66GCucihVvJfMjLAmec39IyEx_6qawtMGysU/edit?usp=sharing"",""สบก!V81"")"),600000)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IFERROR(__xludf.DUMMYFUNCTION("IMPORTRANGE(""https://docs.google.com/spreadsheets/d/1Yj_ptqi66GCucihVvJfMjLAmec39IyEx_6qawtMGysU/edit?usp=sharing"",""สบก!W81"")"),0)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IFERROR(__xludf.DUMMYFUNCTION("IMPORTRANGE(""https://docs.google.com/spreadsheets/d/1Yj_ptqi66GCucihVvJfMjLAmec39IyEx_6qawtMGysU/edit?usp=sharing"",""สบก!X81"")"),0)</f>
        <v>0</v>
      </c>
      <c r="M61" s="101"/>
      <c r="N61" s="91">
        <f ca="1">IFERROR(__xludf.DUMMYFUNCTION("IMPORTRANGE(""https://docs.google.com/spreadsheets/d/1Yj_ptqi66GCucihVvJfMjLAmec39IyEx_6qawtMGysU/edit?usp=sharing"",""สบก!AB81"")"),0)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IFERROR(__xludf.DUMMYFUNCTION("IMPORTRANGE(""https://docs.google.com/spreadsheets/d/1IYY_tgx_IHuhSq3AJ5eI5OnqOPBNLWSHKh2a30DoXe8/edit?usp=sharing"",""กระบี่!I9"")"),1)</f>
        <v>1</v>
      </c>
      <c r="J64" s="146">
        <f ca="1">IFERROR(__xludf.DUMMYFUNCTION("IMPORTRANGE(""https://docs.google.com/spreadsheets/d/1IYY_tgx_IHuhSq3AJ5eI5OnqOPBNLWSHKh2a30DoXe8/edit?usp=sharing"",""กระบี่!J9"")"),1)</f>
        <v>1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IFERROR(__xludf.DUMMYFUNCTION("IMPORTRANGE(""https://docs.google.com/spreadsheets/d/1IYY_tgx_IHuhSq3AJ5eI5OnqOPBNLWSHKh2a30DoXe8/edit?usp=sharing"",""กระบี่!I10"")"),30)</f>
        <v>30</v>
      </c>
      <c r="J65" s="146">
        <f ca="1">IFERROR(__xludf.DUMMYFUNCTION("IMPORTRANGE(""https://docs.google.com/spreadsheets/d/1IYY_tgx_IHuhSq3AJ5eI5OnqOPBNLWSHKh2a30DoXe8/edit?usp=sharing"",""กระบี่!J10"")"),30)</f>
        <v>30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692200</v>
      </c>
      <c r="M66" s="156">
        <f t="shared" ca="1" si="45"/>
        <v>549820</v>
      </c>
      <c r="N66" s="156">
        <f t="shared" ca="1" si="45"/>
        <v>339515.31</v>
      </c>
      <c r="O66" s="155">
        <f t="shared" ref="O66:O68" ca="1" si="46">IF(L66&gt;0,N66*100/L66,0)</f>
        <v>49.048730135798905</v>
      </c>
      <c r="P66" s="155">
        <f t="shared" ref="P66:P68" ca="1" si="47">IF(M66&gt;0,N66*100/M66,0)</f>
        <v>61.750265541449927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692200</v>
      </c>
      <c r="M68" s="161">
        <f t="shared" ca="1" si="49"/>
        <v>549820</v>
      </c>
      <c r="N68" s="161">
        <f t="shared" ca="1" si="49"/>
        <v>339515.31</v>
      </c>
      <c r="O68" s="160">
        <f t="shared" ca="1" si="46"/>
        <v>49.048730135798905</v>
      </c>
      <c r="P68" s="160">
        <f t="shared" ca="1" si="47"/>
        <v>61.750265541449927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692200</v>
      </c>
      <c r="M70" s="173">
        <f ca="1">IFERROR(__xludf.DUMMYFUNCTION("IMPORTRANGE(""https://docs.google.com/spreadsheets/d/1Yj_ptqi66GCucihVvJfMjLAmec39IyEx_6qawtMGysU/edit?usp=sharing"",""สบก!AI81"")"),549820)</f>
        <v>549820</v>
      </c>
      <c r="N70" s="174">
        <f ca="1">IFERROR(__xludf.DUMMYFUNCTION("IMPORTRANGE(""https://docs.google.com/spreadsheets/d/1Yj_ptqi66GCucihVvJfMjLAmec39IyEx_6qawtMGysU/edit?usp=sharing"",""สบก!AJ81"")"),339515.31)</f>
        <v>339515.31</v>
      </c>
      <c r="O70" s="175">
        <f ca="1">IF(L70&gt;0,N70*100/L70,0)</f>
        <v>49.048730135798905</v>
      </c>
      <c r="P70" s="175">
        <f ca="1">IF(M70&gt;0,N70*100/M70,0)</f>
        <v>61.750265541449927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IFERROR(__xludf.DUMMYFUNCTION("IMPORTRANGE(""https://docs.google.com/spreadsheets/d/1Yj_ptqi66GCucihVvJfMjLAmec39IyEx_6qawtMGysU/edit?usp=sharing"",""สบก!AE81"")"),320200)</f>
        <v>320200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IFERROR(__xludf.DUMMYFUNCTION("IMPORTRANGE(""https://docs.google.com/spreadsheets/d/1Yj_ptqi66GCucihVvJfMjLAmec39IyEx_6qawtMGysU/edit?usp=sharing"",""สบก!AF81"")"),372000)</f>
        <v>372000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IFERROR(__xludf.DUMMYFUNCTION("IMPORTRANGE(""https://docs.google.com/spreadsheets/d/1Yj_ptqi66GCucihVvJfMjLAmec39IyEx_6qawtMGysU/edit?usp=sharing"",""สบก!AG81"")"),0)</f>
        <v>0</v>
      </c>
      <c r="M74" s="101"/>
      <c r="N74" s="91">
        <f ca="1">IFERROR(__xludf.DUMMYFUNCTION("IMPORTRANGE(""https://docs.google.com/spreadsheets/d/1Yj_ptqi66GCucihVvJfMjLAmec39IyEx_6qawtMGysU/edit?usp=sharing"",""สบก!AK81"")"),0)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IFERROR(__xludf.DUMMYFUNCTION("IMPORTRANGE(""https://docs.google.com/spreadsheets/d/1IYY_tgx_IHuhSq3AJ5eI5OnqOPBNLWSHKh2a30DoXe8/edit?usp=sharing"",""กระบี่!J16"")"),0)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IFERROR(__xludf.DUMMYFUNCTION("IMPORTRANGE(""https://docs.google.com/spreadsheets/d/1IYY_tgx_IHuhSq3AJ5eI5OnqOPBNLWSHKh2a30DoXe8/edit?usp=sharing"",""กระบี่!J17"")"),1)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IFERROR(__xludf.DUMMYFUNCTION("IMPORTRANGE(""https://docs.google.com/spreadsheets/d/1IYY_tgx_IHuhSq3AJ5eI5OnqOPBNLWSHKh2a30DoXe8/edit?usp=sharing"",""กระบี่!J18"")"),1)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IFERROR(__xludf.DUMMYFUNCTION("IMPORTRANGE(""https://docs.google.com/spreadsheets/d/1IYY_tgx_IHuhSq3AJ5eI5OnqOPBNLWSHKh2a30DoXe8/edit?usp=sharing"",""กระบี่!J19"")"),1)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IFERROR(__xludf.DUMMYFUNCTION("IMPORTRANGE(""https://docs.google.com/spreadsheets/d/1IYY_tgx_IHuhSq3AJ5eI5OnqOPBNLWSHKh2a30DoXe8/edit?usp=sharing"",""กระบี่!I20"")"),1)</f>
        <v>1</v>
      </c>
      <c r="J80" s="207">
        <f ca="1">IFERROR(__xludf.DUMMYFUNCTION("IMPORTRANGE(""https://docs.google.com/spreadsheets/d/1IYY_tgx_IHuhSq3AJ5eI5OnqOPBNLWSHKh2a30DoXe8/edit?usp=sharing"",""กระบี่!J20"")"),1)</f>
        <v>1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IFERROR(__xludf.DUMMYFUNCTION("IMPORTRANGE(""https://docs.google.com/spreadsheets/d/1IYY_tgx_IHuhSq3AJ5eI5OnqOPBNLWSHKh2a30DoXe8/edit?usp=sharing"",""กระบี่!I21"")"),30)</f>
        <v>30</v>
      </c>
      <c r="J81" s="207">
        <f ca="1">IFERROR(__xludf.DUMMYFUNCTION("IMPORTRANGE(""https://docs.google.com/spreadsheets/d/1IYY_tgx_IHuhSq3AJ5eI5OnqOPBNLWSHKh2a30DoXe8/edit?usp=sharing"",""กระบี่!J21"")"),30)</f>
        <v>30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IFERROR(__xludf.DUMMYFUNCTION("IMPORTRANGE(""https://docs.google.com/spreadsheets/d/1IYY_tgx_IHuhSq3AJ5eI5OnqOPBNLWSHKh2a30DoXe8/edit?usp=sharing"",""กระบี่!I22"")"),0)</f>
        <v>0</v>
      </c>
      <c r="J82" s="210">
        <f ca="1">IFERROR(__xludf.DUMMYFUNCTION("IMPORTRANGE(""https://docs.google.com/spreadsheets/d/1IYY_tgx_IHuhSq3AJ5eI5OnqOPBNLWSHKh2a30DoXe8/edit?usp=sharing"",""กระบี่!J22"")"),0)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IFERROR(__xludf.DUMMYFUNCTION("IMPORTRANGE(""https://docs.google.com/spreadsheets/d/1IYY_tgx_IHuhSq3AJ5eI5OnqOPBNLWSHKh2a30DoXe8/edit?usp=sharing"",""กระบี่!I23"")"),0)</f>
        <v>0</v>
      </c>
      <c r="J83" s="210">
        <f ca="1">IFERROR(__xludf.DUMMYFUNCTION("IMPORTRANGE(""https://docs.google.com/spreadsheets/d/1IYY_tgx_IHuhSq3AJ5eI5OnqOPBNLWSHKh2a30DoXe8/edit?usp=sharing"",""กระบี่!J23"")"),0)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IFERROR(__xludf.DUMMYFUNCTION("IMPORTRANGE(""https://docs.google.com/spreadsheets/d/1IYY_tgx_IHuhSq3AJ5eI5OnqOPBNLWSHKh2a30DoXe8/edit?usp=sharing"",""กระบี่!I24"")"),1)</f>
        <v>1</v>
      </c>
      <c r="J84" s="195">
        <f ca="1">IFERROR(__xludf.DUMMYFUNCTION("IMPORTRANGE(""https://docs.google.com/spreadsheets/d/1IYY_tgx_IHuhSq3AJ5eI5OnqOPBNLWSHKh2a30DoXe8/edit?usp=sharing"",""กระบี่!J24"")"),1)</f>
        <v>1</v>
      </c>
      <c r="K84" s="167">
        <f t="shared" ca="1" si="50"/>
        <v>100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IFERROR(__xludf.DUMMYFUNCTION("IMPORTRANGE(""https://docs.google.com/spreadsheets/d/1IYY_tgx_IHuhSq3AJ5eI5OnqOPBNLWSHKh2a30DoXe8/edit?usp=sharing"",""กระบี่!I25"")"),30)</f>
        <v>30</v>
      </c>
      <c r="J85" s="195">
        <f ca="1">IFERROR(__xludf.DUMMYFUNCTION("IMPORTRANGE(""https://docs.google.com/spreadsheets/d/1IYY_tgx_IHuhSq3AJ5eI5OnqOPBNLWSHKh2a30DoXe8/edit?usp=sharing"",""กระบี่!J25"")"),30)</f>
        <v>30</v>
      </c>
      <c r="K85" s="167">
        <f t="shared" ca="1" si="50"/>
        <v>100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IFERROR(__xludf.DUMMYFUNCTION("IMPORTRANGE(""https://docs.google.com/spreadsheets/d/1IYY_tgx_IHuhSq3AJ5eI5OnqOPBNLWSHKh2a30DoXe8/edit?usp=sharing"",""กระบี่!I26"")"),0)</f>
        <v>0</v>
      </c>
      <c r="J86" s="210">
        <f ca="1">IFERROR(__xludf.DUMMYFUNCTION("IMPORTRANGE(""https://docs.google.com/spreadsheets/d/1IYY_tgx_IHuhSq3AJ5eI5OnqOPBNLWSHKh2a30DoXe8/edit?usp=sharing"",""กระบี่!J26"")"),0)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IFERROR(__xludf.DUMMYFUNCTION("IMPORTRANGE(""https://docs.google.com/spreadsheets/d/1IYY_tgx_IHuhSq3AJ5eI5OnqOPBNLWSHKh2a30DoXe8/edit?usp=sharing"",""กระบี่!I27"")"),0)</f>
        <v>0</v>
      </c>
      <c r="J87" s="210">
        <f ca="1">IFERROR(__xludf.DUMMYFUNCTION("IMPORTRANGE(""https://docs.google.com/spreadsheets/d/1IYY_tgx_IHuhSq3AJ5eI5OnqOPBNLWSHKh2a30DoXe8/edit?usp=sharing"",""กระบี่!J27"")"),0)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IFERROR(__xludf.DUMMYFUNCTION("IMPORTRANGE(""https://docs.google.com/spreadsheets/d/1IYY_tgx_IHuhSq3AJ5eI5OnqOPBNLWSHKh2a30DoXe8/edit?usp=sharing"",""กระบี่!I28"")"),0)</f>
        <v>0</v>
      </c>
      <c r="J88" s="210">
        <f ca="1">IFERROR(__xludf.DUMMYFUNCTION("IMPORTRANGE(""https://docs.google.com/spreadsheets/d/1IYY_tgx_IHuhSq3AJ5eI5OnqOPBNLWSHKh2a30DoXe8/edit?usp=sharing"",""กระบี่!J28"")"),0)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IFERROR(__xludf.DUMMYFUNCTION("IMPORTRANGE(""https://docs.google.com/spreadsheets/d/1IYY_tgx_IHuhSq3AJ5eI5OnqOPBNLWSHKh2a30DoXe8/edit?usp=sharing"",""กระบี่!J29"")"),0)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IFERROR(__xludf.DUMMYFUNCTION("IMPORTRANGE(""https://docs.google.com/spreadsheets/d/1IYY_tgx_IHuhSq3AJ5eI5OnqOPBNLWSHKh2a30DoXe8/edit?usp=sharing"",""กระบี่!J30"")"),0)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IFERROR(__xludf.DUMMYFUNCTION("IMPORTRANGE(""https://docs.google.com/spreadsheets/d/1IYY_tgx_IHuhSq3AJ5eI5OnqOPBNLWSHKh2a30DoXe8/edit?usp=sharing"",""กระบี่!I32"")"),0)</f>
        <v>0</v>
      </c>
      <c r="J92" s="146">
        <f ca="1">IFERROR(__xludf.DUMMYFUNCTION("IMPORTRANGE(""https://docs.google.com/spreadsheets/d/1IYY_tgx_IHuhSq3AJ5eI5OnqOPBNLWSHKh2a30DoXe8/edit?usp=sharing"",""กระบี่!J32"")"),0)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IFERROR(__xludf.DUMMYFUNCTION("IMPORTRANGE(""https://docs.google.com/spreadsheets/d/1IYY_tgx_IHuhSq3AJ5eI5OnqOPBNLWSHKh2a30DoXe8/edit?usp=sharing"",""กระบี่!I33"")"),0)</f>
        <v>0</v>
      </c>
      <c r="J93" s="146">
        <f ca="1">IFERROR(__xludf.DUMMYFUNCTION("IMPORTRANGE(""https://docs.google.com/spreadsheets/d/1IYY_tgx_IHuhSq3AJ5eI5OnqOPBNLWSHKh2a30DoXe8/edit?usp=sharing"",""กระบี่!J33"")"),0)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IFERROR(__xludf.DUMMYFUNCTION("IMPORTRANGE(""https://docs.google.com/spreadsheets/d/1Yj_ptqi66GCucihVvJfMjLAmec39IyEx_6qawtMGysU/edit?usp=sharing"",""สบก!AR81"")"),0)</f>
        <v>0</v>
      </c>
      <c r="N98" s="174">
        <f ca="1">IFERROR(__xludf.DUMMYFUNCTION("IMPORTRANGE(""https://docs.google.com/spreadsheets/d/1Yj_ptqi66GCucihVvJfMjLAmec39IyEx_6qawtMGysU/edit?usp=sharing"",""สบก!AS81"")"),0)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IFERROR(__xludf.DUMMYFUNCTION("IMPORTRANGE(""https://docs.google.com/spreadsheets/d/1Yj_ptqi66GCucihVvJfMjLAmec39IyEx_6qawtMGysU/edit?usp=sharing"",""สบก!AN81"")"),0)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IFERROR(__xludf.DUMMYFUNCTION("IMPORTRANGE(""https://docs.google.com/spreadsheets/d/1Yj_ptqi66GCucihVvJfMjLAmec39IyEx_6qawtMGysU/edit?usp=sharing"",""สบก!AO81"")"),0)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IFERROR(__xludf.DUMMYFUNCTION("IMPORTRANGE(""https://docs.google.com/spreadsheets/d/1Yj_ptqi66GCucihVvJfMjLAmec39IyEx_6qawtMGysU/edit?usp=sharing"",""สบก!AP81"")"),0)</f>
        <v>0</v>
      </c>
      <c r="M102" s="101"/>
      <c r="N102" s="91">
        <f ca="1">IFERROR(__xludf.DUMMYFUNCTION("IMPORTRANGE(""https://docs.google.com/spreadsheets/d/1Yj_ptqi66GCucihVvJfMjLAmec39IyEx_6qawtMGysU/edit?usp=sharing"",""สบก!AT81"")"),0)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IFERROR(__xludf.DUMMYFUNCTION("IMPORTRANGE(""https://docs.google.com/spreadsheets/d/1IYY_tgx_IHuhSq3AJ5eI5OnqOPBNLWSHKh2a30DoXe8/edit?usp=sharing"",""กระบี่!J39"")"),0)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IFERROR(__xludf.DUMMYFUNCTION("IMPORTRANGE(""https://docs.google.com/spreadsheets/d/1IYY_tgx_IHuhSq3AJ5eI5OnqOPBNLWSHKh2a30DoXe8/edit?usp=sharing"",""กระบี่!J40"")"),0)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IFERROR(__xludf.DUMMYFUNCTION("IMPORTRANGE(""https://docs.google.com/spreadsheets/d/1IYY_tgx_IHuhSq3AJ5eI5OnqOPBNLWSHKh2a30DoXe8/edit?usp=sharing"",""กระบี่!J41"")"),0)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IFERROR(__xludf.DUMMYFUNCTION("IMPORTRANGE(""https://docs.google.com/spreadsheets/d/1IYY_tgx_IHuhSq3AJ5eI5OnqOPBNLWSHKh2a30DoXe8/edit?usp=sharing"",""กระบี่!J42"")"),0)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IFERROR(__xludf.DUMMYFUNCTION("IMPORTRANGE(""https://docs.google.com/spreadsheets/d/1IYY_tgx_IHuhSq3AJ5eI5OnqOPBNLWSHKh2a30DoXe8/edit?usp=sharing"",""กระบี่!I43"")"),0)</f>
        <v>0</v>
      </c>
      <c r="J108" s="210">
        <f ca="1">IFERROR(__xludf.DUMMYFUNCTION("IMPORTRANGE(""https://docs.google.com/spreadsheets/d/1IYY_tgx_IHuhSq3AJ5eI5OnqOPBNLWSHKh2a30DoXe8/edit?usp=sharing"",""กระบี่!J43"")"),0)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IFERROR(__xludf.DUMMYFUNCTION("IMPORTRANGE(""https://docs.google.com/spreadsheets/d/1IYY_tgx_IHuhSq3AJ5eI5OnqOPBNLWSHKh2a30DoXe8/edit?usp=sharing"",""กระบี่!I44"")"),0)</f>
        <v>0</v>
      </c>
      <c r="J109" s="210">
        <f ca="1">IFERROR(__xludf.DUMMYFUNCTION("IMPORTRANGE(""https://docs.google.com/spreadsheets/d/1IYY_tgx_IHuhSq3AJ5eI5OnqOPBNLWSHKh2a30DoXe8/edit?usp=sharing"",""กระบี่!J44"")"),0)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IFERROR(__xludf.DUMMYFUNCTION("IMPORTRANGE(""https://docs.google.com/spreadsheets/d/1IYY_tgx_IHuhSq3AJ5eI5OnqOPBNLWSHKh2a30DoXe8/edit?usp=sharing"",""กระบี่!I45"")"),0)</f>
        <v>0</v>
      </c>
      <c r="J110" s="210">
        <f ca="1">IFERROR(__xludf.DUMMYFUNCTION("IMPORTRANGE(""https://docs.google.com/spreadsheets/d/1IYY_tgx_IHuhSq3AJ5eI5OnqOPBNLWSHKh2a30DoXe8/edit?usp=sharing"",""กระบี่!J45"")"),0)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IFERROR(__xludf.DUMMYFUNCTION("IMPORTRANGE(""https://docs.google.com/spreadsheets/d/1IYY_tgx_IHuhSq3AJ5eI5OnqOPBNLWSHKh2a30DoXe8/edit?usp=sharing"",""กระบี่!I46"")"),0)</f>
        <v>0</v>
      </c>
      <c r="J111" s="210">
        <f ca="1">IFERROR(__xludf.DUMMYFUNCTION("IMPORTRANGE(""https://docs.google.com/spreadsheets/d/1IYY_tgx_IHuhSq3AJ5eI5OnqOPBNLWSHKh2a30DoXe8/edit?usp=sharing"",""กระบี่!J46"")"),0)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IFERROR(__xludf.DUMMYFUNCTION("IMPORTRANGE(""https://docs.google.com/spreadsheets/d/1IYY_tgx_IHuhSq3AJ5eI5OnqOPBNLWSHKh2a30DoXe8/edit?usp=sharing"",""กระบี่!I47"")"),0)</f>
        <v>0</v>
      </c>
      <c r="J112" s="210">
        <f ca="1">IFERROR(__xludf.DUMMYFUNCTION("IMPORTRANGE(""https://docs.google.com/spreadsheets/d/1IYY_tgx_IHuhSq3AJ5eI5OnqOPBNLWSHKh2a30DoXe8/edit?usp=sharing"",""กระบี่!J47"")"),0)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IFERROR(__xludf.DUMMYFUNCTION("IMPORTRANGE(""https://docs.google.com/spreadsheets/d/1IYY_tgx_IHuhSq3AJ5eI5OnqOPBNLWSHKh2a30DoXe8/edit?usp=sharing"",""กระบี่!I48"")"),0)</f>
        <v>0</v>
      </c>
      <c r="J113" s="210">
        <f ca="1">IFERROR(__xludf.DUMMYFUNCTION("IMPORTRANGE(""https://docs.google.com/spreadsheets/d/1IYY_tgx_IHuhSq3AJ5eI5OnqOPBNLWSHKh2a30DoXe8/edit?usp=sharing"",""กระบี่!J48"")"),0)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IFERROR(__xludf.DUMMYFUNCTION("IMPORTRANGE(""https://docs.google.com/spreadsheets/d/1IYY_tgx_IHuhSq3AJ5eI5OnqOPBNLWSHKh2a30DoXe8/edit?usp=sharing"",""กระบี่!J49"")"),0)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IFERROR(__xludf.DUMMYFUNCTION("IMPORTRANGE(""https://docs.google.com/spreadsheets/d/1IYY_tgx_IHuhSq3AJ5eI5OnqOPBNLWSHKh2a30DoXe8/edit?usp=sharing"",""กระบี่!J50"")"),0)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IFERROR(__xludf.DUMMYFUNCTION("IMPORTRANGE(""https://docs.google.com/spreadsheets/d/1IYY_tgx_IHuhSq3AJ5eI5OnqOPBNLWSHKh2a30DoXe8/edit?usp=sharing"",""กระบี่!I52"")"),0)</f>
        <v>0</v>
      </c>
      <c r="J117" s="146">
        <f ca="1">IFERROR(__xludf.DUMMYFUNCTION("IMPORTRANGE(""https://docs.google.com/spreadsheets/d/1IYY_tgx_IHuhSq3AJ5eI5OnqOPBNLWSHKh2a30DoXe8/edit?usp=sharing"",""กระบี่!J52"")"),0)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IFERROR(__xludf.DUMMYFUNCTION("IMPORTRANGE(""https://docs.google.com/spreadsheets/d/1Yj_ptqi66GCucihVvJfMjLAmec39IyEx_6qawtMGysU/edit?usp=sharing"",""สบก!BA81"")"),0)</f>
        <v>0</v>
      </c>
      <c r="N122" s="174">
        <f ca="1">IFERROR(__xludf.DUMMYFUNCTION("IMPORTRANGE(""https://docs.google.com/spreadsheets/d/1Yj_ptqi66GCucihVvJfMjLAmec39IyEx_6qawtMGysU/edit?usp=sharing"",""สบก!BB81"")"),0)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IFERROR(__xludf.DUMMYFUNCTION("IMPORTRANGE(""https://docs.google.com/spreadsheets/d/1Yj_ptqi66GCucihVvJfMjLAmec39IyEx_6qawtMGysU/edit?usp=sharing"",""สบก!AW81"")"),0)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IFERROR(__xludf.DUMMYFUNCTION("IMPORTRANGE(""https://docs.google.com/spreadsheets/d/1Yj_ptqi66GCucihVvJfMjLAmec39IyEx_6qawtMGysU/edit?usp=sharing"",""สบก!AX81"")"),0)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IFERROR(__xludf.DUMMYFUNCTION("IMPORTRANGE(""https://docs.google.com/spreadsheets/d/1Yj_ptqi66GCucihVvJfMjLAmec39IyEx_6qawtMGysU/edit?usp=sharing"",""สบก!AY81"")"),0)</f>
        <v>0</v>
      </c>
      <c r="M126" s="101"/>
      <c r="N126" s="91">
        <f ca="1">IFERROR(__xludf.DUMMYFUNCTION("IMPORTRANGE(""https://docs.google.com/spreadsheets/d/1Yj_ptqi66GCucihVvJfMjLAmec39IyEx_6qawtMGysU/edit?usp=sharing"",""สบก!BC81"")"),0)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239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IFERROR(__xludf.DUMMYFUNCTION("IMPORTRANGE(""https://docs.google.com/spreadsheets/d/1IYY_tgx_IHuhSq3AJ5eI5OnqOPBNLWSHKh2a30DoXe8/edit?usp=sharing"",""กระบี่!J58"")"),0)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IFERROR(__xludf.DUMMYFUNCTION("IMPORTRANGE(""https://docs.google.com/spreadsheets/d/1IYY_tgx_IHuhSq3AJ5eI5OnqOPBNLWSHKh2a30DoXe8/edit?usp=sharing"",""กระบี่!J59"")"),0)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IFERROR(__xludf.DUMMYFUNCTION("IMPORTRANGE(""https://docs.google.com/spreadsheets/d/1IYY_tgx_IHuhSq3AJ5eI5OnqOPBNLWSHKh2a30DoXe8/edit?usp=sharing"",""กระบี่!J60"")"),0)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IFERROR(__xludf.DUMMYFUNCTION("IMPORTRANGE(""https://docs.google.com/spreadsheets/d/1IYY_tgx_IHuhSq3AJ5eI5OnqOPBNLWSHKh2a30DoXe8/edit?usp=sharing"",""กระบี่!J61"")"),0)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IFERROR(__xludf.DUMMYFUNCTION("IMPORTRANGE(""https://docs.google.com/spreadsheets/d/1IYY_tgx_IHuhSq3AJ5eI5OnqOPBNLWSHKh2a30DoXe8/edit?usp=sharing"",""กระบี่!I62"")"),0)</f>
        <v>0</v>
      </c>
      <c r="J132" s="210">
        <f ca="1">IFERROR(__xludf.DUMMYFUNCTION("IMPORTRANGE(""https://docs.google.com/spreadsheets/d/1IYY_tgx_IHuhSq3AJ5eI5OnqOPBNLWSHKh2a30DoXe8/edit?usp=sharing"",""กระบี่!J62"")"),0)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IFERROR(__xludf.DUMMYFUNCTION("IMPORTRANGE(""https://docs.google.com/spreadsheets/d/1IYY_tgx_IHuhSq3AJ5eI5OnqOPBNLWSHKh2a30DoXe8/edit?usp=sharing"",""กระบี่!I63"")"),0)</f>
        <v>0</v>
      </c>
      <c r="J133" s="210">
        <f ca="1">IFERROR(__xludf.DUMMYFUNCTION("IMPORTRANGE(""https://docs.google.com/spreadsheets/d/1IYY_tgx_IHuhSq3AJ5eI5OnqOPBNLWSHKh2a30DoXe8/edit?usp=sharing"",""กระบี่!J63"")"),0)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IFERROR(__xludf.DUMMYFUNCTION("IMPORTRANGE(""https://docs.google.com/spreadsheets/d/1IYY_tgx_IHuhSq3AJ5eI5OnqOPBNLWSHKh2a30DoXe8/edit?usp=sharing"",""กระบี่!J64"")"),0)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IFERROR(__xludf.DUMMYFUNCTION("IMPORTRANGE(""https://docs.google.com/spreadsheets/d/1IYY_tgx_IHuhSq3AJ5eI5OnqOPBNLWSHKh2a30DoXe8/edit?usp=sharing"",""กระบี่!J65"")"),0)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IFERROR(__xludf.DUMMYFUNCTION("IMPORTRANGE(""https://docs.google.com/spreadsheets/d/1IYY_tgx_IHuhSq3AJ5eI5OnqOPBNLWSHKh2a30DoXe8/edit?usp=sharing"",""กระบี่!I68"")"),15)</f>
        <v>15</v>
      </c>
      <c r="J138" s="273">
        <f ca="1">IFERROR(__xludf.DUMMYFUNCTION("IMPORTRANGE(""https://docs.google.com/spreadsheets/d/1IYY_tgx_IHuhSq3AJ5eI5OnqOPBNLWSHKh2a30DoXe8/edit?usp=sharing"",""กระบี่!J68"")"),15)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70000</v>
      </c>
      <c r="M140" s="156">
        <f t="shared" ca="1" si="64"/>
        <v>56625</v>
      </c>
      <c r="N140" s="156">
        <f t="shared" ca="1" si="64"/>
        <v>42942</v>
      </c>
      <c r="O140" s="155">
        <f t="shared" ref="O140:O142" ca="1" si="65">IF(L140&gt;0,N140*100/L140,0)</f>
        <v>61.345714285714287</v>
      </c>
      <c r="P140" s="155">
        <f t="shared" ref="P140:P142" ca="1" si="66">IF(M140&gt;0,N140*100/M140,0)</f>
        <v>75.835761589403972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70000</v>
      </c>
      <c r="M142" s="161">
        <f t="shared" ca="1" si="68"/>
        <v>56625</v>
      </c>
      <c r="N142" s="161">
        <f t="shared" ca="1" si="68"/>
        <v>42942</v>
      </c>
      <c r="O142" s="160">
        <f t="shared" ca="1" si="65"/>
        <v>61.345714285714287</v>
      </c>
      <c r="P142" s="160">
        <f t="shared" ca="1" si="66"/>
        <v>75.835761589403972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70000</v>
      </c>
      <c r="M144" s="173">
        <f ca="1">IFERROR(__xludf.DUMMYFUNCTION("IMPORTRANGE(""https://docs.google.com/spreadsheets/d/1Yj_ptqi66GCucihVvJfMjLAmec39IyEx_6qawtMGysU/edit?usp=sharing"",""สบก!BJ81"")"),56625)</f>
        <v>56625</v>
      </c>
      <c r="N144" s="174">
        <f ca="1">IFERROR(__xludf.DUMMYFUNCTION("IMPORTRANGE(""https://docs.google.com/spreadsheets/d/1Yj_ptqi66GCucihVvJfMjLAmec39IyEx_6qawtMGysU/edit?usp=sharing"",""สบก!BK81"")"),42942)</f>
        <v>42942</v>
      </c>
      <c r="O144" s="175">
        <f ca="1">IF(L144&gt;0,N144*100/L144,0)</f>
        <v>61.345714285714287</v>
      </c>
      <c r="P144" s="175">
        <f ca="1">IF(M144&gt;0,N144*100/M144,0)</f>
        <v>75.835761589403972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IFERROR(__xludf.DUMMYFUNCTION("IMPORTRANGE(""https://docs.google.com/spreadsheets/d/1Yj_ptqi66GCucihVvJfMjLAmec39IyEx_6qawtMGysU/edit?usp=sharing"",""สบก!BF81"")"),0)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IFERROR(__xludf.DUMMYFUNCTION("IMPORTRANGE(""https://docs.google.com/spreadsheets/d/1Yj_ptqi66GCucihVvJfMjLAmec39IyEx_6qawtMGysU/edit?usp=sharing"",""สบก!BG81"")"),70000)</f>
        <v>70000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IFERROR(__xludf.DUMMYFUNCTION("IMPORTRANGE(""https://docs.google.com/spreadsheets/d/1Yj_ptqi66GCucihVvJfMjLAmec39IyEx_6qawtMGysU/edit?usp=sharing"",""สบก!BH81"")"),0)</f>
        <v>0</v>
      </c>
      <c r="M148" s="101"/>
      <c r="N148" s="91">
        <f ca="1">IFERROR(__xludf.DUMMYFUNCTION("IMPORTRANGE(""https://docs.google.com/spreadsheets/d/1Yj_ptqi66GCucihVvJfMjLAmec39IyEx_6qawtMGysU/edit?usp=sharing"",""สบก!BL81"")"),0)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IFERROR(__xludf.DUMMYFUNCTION("IMPORTRANGE(""https://docs.google.com/spreadsheets/d/1IYY_tgx_IHuhSq3AJ5eI5OnqOPBNLWSHKh2a30DoXe8/edit?usp=sharing"",""กระบี่!I74"")"),4)</f>
        <v>4</v>
      </c>
      <c r="J149" s="281">
        <f ca="1">IFERROR(__xludf.DUMMYFUNCTION("IMPORTRANGE(""https://docs.google.com/spreadsheets/d/1IYY_tgx_IHuhSq3AJ5eI5OnqOPBNLWSHKh2a30DoXe8/edit?usp=sharing"",""กระบี่!J74"")"),2)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IFERROR(__xludf.DUMMYFUNCTION("IMPORTRANGE(""https://docs.google.com/spreadsheets/d/1IYY_tgx_IHuhSq3AJ5eI5OnqOPBNLWSHKh2a30DoXe8/edit?usp=sharing"",""กระบี่!J79"")"),0)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IFERROR(__xludf.DUMMYFUNCTION("IMPORTRANGE(""https://docs.google.com/spreadsheets/d/1IYY_tgx_IHuhSq3AJ5eI5OnqOPBNLWSHKh2a30DoXe8/edit?usp=sharing"",""กระบี่!J80"")"),1)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IFERROR(__xludf.DUMMYFUNCTION("IMPORTRANGE(""https://docs.google.com/spreadsheets/d/1IYY_tgx_IHuhSq3AJ5eI5OnqOPBNLWSHKh2a30DoXe8/edit?usp=sharing"",""กระบี่!J81"")"),1)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IFERROR(__xludf.DUMMYFUNCTION("IMPORTRANGE(""https://docs.google.com/spreadsheets/d/1IYY_tgx_IHuhSq3AJ5eI5OnqOPBNLWSHKh2a30DoXe8/edit?usp=sharing"",""กระบี่!J82"")"),1)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IFERROR(__xludf.DUMMYFUNCTION("IMPORTRANGE(""https://docs.google.com/spreadsheets/d/1IYY_tgx_IHuhSq3AJ5eI5OnqOPBNLWSHKh2a30DoXe8/edit?usp=sharing"",""กระบี่!I83"")"),4)</f>
        <v>4</v>
      </c>
      <c r="J158" s="195">
        <f ca="1">IFERROR(__xludf.DUMMYFUNCTION("IMPORTRANGE(""https://docs.google.com/spreadsheets/d/1IYY_tgx_IHuhSq3AJ5eI5OnqOPBNLWSHKh2a30DoXe8/edit?usp=sharing"",""กระบี่!J83"")"),2)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IFERROR(__xludf.DUMMYFUNCTION("IMPORTRANGE(""https://docs.google.com/spreadsheets/d/1IYY_tgx_IHuhSq3AJ5eI5OnqOPBNLWSHKh2a30DoXe8/edit?usp=sharing"",""กระบี่!J84"")"),22)</f>
        <v>22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IFERROR(__xludf.DUMMYFUNCTION("IMPORTRANGE(""https://docs.google.com/spreadsheets/d/1IYY_tgx_IHuhSq3AJ5eI5OnqOPBNLWSHKh2a30DoXe8/edit?usp=sharing"",""กระบี่!J85"")"),22)</f>
        <v>22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IFERROR(__xludf.DUMMYFUNCTION("IMPORTRANGE(""https://docs.google.com/spreadsheets/d/1IYY_tgx_IHuhSq3AJ5eI5OnqOPBNLWSHKh2a30DoXe8/edit?usp=sharing"",""กระบี่!J86"")"),0)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IFERROR(__xludf.DUMMYFUNCTION("IMPORTRANGE(""https://docs.google.com/spreadsheets/d/1IYY_tgx_IHuhSq3AJ5eI5OnqOPBNLWSHKh2a30DoXe8/edit?usp=sharing"",""กระบี่!J87"")"),0)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IFERROR(__xludf.DUMMYFUNCTION("IMPORTRANGE(""https://docs.google.com/spreadsheets/d/1IYY_tgx_IHuhSq3AJ5eI5OnqOPBNLWSHKh2a30DoXe8/edit?usp=sharing"",""กระบี่!J88"")"),0)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IFERROR(__xludf.DUMMYFUNCTION("IMPORTRANGE(""https://docs.google.com/spreadsheets/d/1IYY_tgx_IHuhSq3AJ5eI5OnqOPBNLWSHKh2a30DoXe8/edit?usp=sharing"",""กระบี่!I89"")"),2)</f>
        <v>2</v>
      </c>
      <c r="J164" s="290">
        <f ca="1">IFERROR(__xludf.DUMMYFUNCTION("IMPORTRANGE(""https://docs.google.com/spreadsheets/d/1IYY_tgx_IHuhSq3AJ5eI5OnqOPBNLWSHKh2a30DoXe8/edit?usp=sharing"",""กระบี่!J89"")"),2)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IFERROR(__xludf.DUMMYFUNCTION("IMPORTRANGE(""https://docs.google.com/spreadsheets/d/1IYY_tgx_IHuhSq3AJ5eI5OnqOPBNLWSHKh2a30DoXe8/edit?usp=sharing"",""กระบี่!J94"")"),0)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IFERROR(__xludf.DUMMYFUNCTION("IMPORTRANGE(""https://docs.google.com/spreadsheets/d/1IYY_tgx_IHuhSq3AJ5eI5OnqOPBNLWSHKh2a30DoXe8/edit?usp=sharing"",""กระบี่!J95"")"),1)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IFERROR(__xludf.DUMMYFUNCTION("IMPORTRANGE(""https://docs.google.com/spreadsheets/d/1IYY_tgx_IHuhSq3AJ5eI5OnqOPBNLWSHKh2a30DoXe8/edit?usp=sharing"",""กระบี่!J96"")"),1)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IFERROR(__xludf.DUMMYFUNCTION("IMPORTRANGE(""https://docs.google.com/spreadsheets/d/1IYY_tgx_IHuhSq3AJ5eI5OnqOPBNLWSHKh2a30DoXe8/edit?usp=sharing"",""กระบี่!J97"")"),1)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IFERROR(__xludf.DUMMYFUNCTION("IMPORTRANGE(""https://docs.google.com/spreadsheets/d/1IYY_tgx_IHuhSq3AJ5eI5OnqOPBNLWSHKh2a30DoXe8/edit?usp=sharing"",""กระบี่!I98"")"),2)</f>
        <v>2</v>
      </c>
      <c r="J173" s="195">
        <f ca="1">IFERROR(__xludf.DUMMYFUNCTION("IMPORTRANGE(""https://docs.google.com/spreadsheets/d/1IYY_tgx_IHuhSq3AJ5eI5OnqOPBNLWSHKh2a30DoXe8/edit?usp=sharing"",""กระบี่!J98"")"),2)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IFERROR(__xludf.DUMMYFUNCTION("IMPORTRANGE(""https://docs.google.com/spreadsheets/d/1IYY_tgx_IHuhSq3AJ5eI5OnqOPBNLWSHKh2a30DoXe8/edit?usp=sharing"",""กระบี่!J99"")"),0)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IFERROR(__xludf.DUMMYFUNCTION("IMPORTRANGE(""https://docs.google.com/spreadsheets/d/1IYY_tgx_IHuhSq3AJ5eI5OnqOPBNLWSHKh2a30DoXe8/edit?usp=sharing"",""กระบี่!J100"")"),0)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IFERROR(__xludf.DUMMYFUNCTION("IMPORTRANGE(""https://docs.google.com/spreadsheets/d/1IYY_tgx_IHuhSq3AJ5eI5OnqOPBNLWSHKh2a30DoXe8/edit?usp=sharing"",""กระบี่!I101"")"),0)</f>
        <v>0</v>
      </c>
      <c r="J176" s="290">
        <f ca="1">IFERROR(__xludf.DUMMYFUNCTION("IMPORTRANGE(""https://docs.google.com/spreadsheets/d/1IYY_tgx_IHuhSq3AJ5eI5OnqOPBNLWSHKh2a30DoXe8/edit?usp=sharing"",""กระบี่!J101"")"),0)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IFERROR(__xludf.DUMMYFUNCTION("IMPORTRANGE(""https://docs.google.com/spreadsheets/d/1IYY_tgx_IHuhSq3AJ5eI5OnqOPBNLWSHKh2a30DoXe8/edit?usp=sharing"",""กระบี่!J106"")"),0)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IFERROR(__xludf.DUMMYFUNCTION("IMPORTRANGE(""https://docs.google.com/spreadsheets/d/1IYY_tgx_IHuhSq3AJ5eI5OnqOPBNLWSHKh2a30DoXe8/edit?usp=sharing"",""กระบี่!J107"")"),0)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IFERROR(__xludf.DUMMYFUNCTION("IMPORTRANGE(""https://docs.google.com/spreadsheets/d/1IYY_tgx_IHuhSq3AJ5eI5OnqOPBNLWSHKh2a30DoXe8/edit?usp=sharing"",""กระบี่!J108"")"),0)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IFERROR(__xludf.DUMMYFUNCTION("IMPORTRANGE(""https://docs.google.com/spreadsheets/d/1IYY_tgx_IHuhSq3AJ5eI5OnqOPBNLWSHKh2a30DoXe8/edit?usp=sharing"",""กระบี่!J109"")"),0)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IFERROR(__xludf.DUMMYFUNCTION("IMPORTRANGE(""https://docs.google.com/spreadsheets/d/1IYY_tgx_IHuhSq3AJ5eI5OnqOPBNLWSHKh2a30DoXe8/edit?usp=sharing"",""กระบี่!I110"")"),0)</f>
        <v>0</v>
      </c>
      <c r="J185" s="210">
        <f ca="1">IFERROR(__xludf.DUMMYFUNCTION("IMPORTRANGE(""https://docs.google.com/spreadsheets/d/1IYY_tgx_IHuhSq3AJ5eI5OnqOPBNLWSHKh2a30DoXe8/edit?usp=sharing"",""กระบี่!J110"")"),0)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IFERROR(__xludf.DUMMYFUNCTION("IMPORTRANGE(""https://docs.google.com/spreadsheets/d/1IYY_tgx_IHuhSq3AJ5eI5OnqOPBNLWSHKh2a30DoXe8/edit?usp=sharing"",""กระบี่!I111"")"),0)</f>
        <v>0</v>
      </c>
      <c r="J186" s="210">
        <f ca="1">IFERROR(__xludf.DUMMYFUNCTION("IMPORTRANGE(""https://docs.google.com/spreadsheets/d/1IYY_tgx_IHuhSq3AJ5eI5OnqOPBNLWSHKh2a30DoXe8/edit?usp=sharing"",""กระบี่!J111"")"),0)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IFERROR(__xludf.DUMMYFUNCTION("IMPORTRANGE(""https://docs.google.com/spreadsheets/d/1IYY_tgx_IHuhSq3AJ5eI5OnqOPBNLWSHKh2a30DoXe8/edit?usp=sharing"",""กระบี่!J112"")"),0)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IFERROR(__xludf.DUMMYFUNCTION("IMPORTRANGE(""https://docs.google.com/spreadsheets/d/1IYY_tgx_IHuhSq3AJ5eI5OnqOPBNLWSHKh2a30DoXe8/edit?usp=sharing"",""กระบี่!J113"")"),0)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IFERROR(__xludf.DUMMYFUNCTION("IMPORTRANGE(""https://docs.google.com/spreadsheets/d/1IYY_tgx_IHuhSq3AJ5eI5OnqOPBNLWSHKh2a30DoXe8/edit?usp=sharing"",""กระบี่!I114"")"),50000)</f>
        <v>50000</v>
      </c>
      <c r="J189" s="290">
        <f ca="1">IFERROR(__xludf.DUMMYFUNCTION("IMPORTRANGE(""https://docs.google.com/spreadsheets/d/1IYY_tgx_IHuhSq3AJ5eI5OnqOPBNLWSHKh2a30DoXe8/edit?usp=sharing"",""กระบี่!J114"")"),0)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IFERROR(__xludf.DUMMYFUNCTION("IMPORTRANGE(""https://docs.google.com/spreadsheets/d/1IYY_tgx_IHuhSq3AJ5eI5OnqOPBNLWSHKh2a30DoXe8/edit?usp=sharing"",""กระบี่!J119"")"),0)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IFERROR(__xludf.DUMMYFUNCTION("IMPORTRANGE(""https://docs.google.com/spreadsheets/d/1IYY_tgx_IHuhSq3AJ5eI5OnqOPBNLWSHKh2a30DoXe8/edit?usp=sharing"",""กระบี่!J120"")"),1)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IFERROR(__xludf.DUMMYFUNCTION("IMPORTRANGE(""https://docs.google.com/spreadsheets/d/1IYY_tgx_IHuhSq3AJ5eI5OnqOPBNLWSHKh2a30DoXe8/edit?usp=sharing"",""กระบี่!J121"")"),1)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IFERROR(__xludf.DUMMYFUNCTION("IMPORTRANGE(""https://docs.google.com/spreadsheets/d/1IYY_tgx_IHuhSq3AJ5eI5OnqOPBNLWSHKh2a30DoXe8/edit?usp=sharing"",""กระบี่!J122"")"),1)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IFERROR(__xludf.DUMMYFUNCTION("IMPORTRANGE(""https://docs.google.com/spreadsheets/d/1IYY_tgx_IHuhSq3AJ5eI5OnqOPBNLWSHKh2a30DoXe8/edit?usp=sharing"",""กระบี่!I124"")"),50000)</f>
        <v>50000</v>
      </c>
      <c r="J199" s="195">
        <f ca="1">IFERROR(__xludf.DUMMYFUNCTION("IMPORTRANGE(""https://docs.google.com/spreadsheets/d/1IYY_tgx_IHuhSq3AJ5eI5OnqOPBNLWSHKh2a30DoXe8/edit?usp=sharing"",""กระบี่!J124"")"),50000)</f>
        <v>50000</v>
      </c>
      <c r="K199" s="167">
        <f t="shared" ref="K199:K201" ca="1" si="70">IF(I199&gt;0,J199*100/I199,0)</f>
        <v>100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IFERROR(__xludf.DUMMYFUNCTION("IMPORTRANGE(""https://docs.google.com/spreadsheets/d/1IYY_tgx_IHuhSq3AJ5eI5OnqOPBNLWSHKh2a30DoXe8/edit?usp=sharing"",""กระบี่!I125"")"),50000)</f>
        <v>50000</v>
      </c>
      <c r="J200" s="195">
        <f ca="1">IFERROR(__xludf.DUMMYFUNCTION("IMPORTRANGE(""https://docs.google.com/spreadsheets/d/1IYY_tgx_IHuhSq3AJ5eI5OnqOPBNLWSHKh2a30DoXe8/edit?usp=sharing"",""กระบี่!J125"")"),0)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IFERROR(__xludf.DUMMYFUNCTION("IMPORTRANGE(""https://docs.google.com/spreadsheets/d/1IYY_tgx_IHuhSq3AJ5eI5OnqOPBNLWSHKh2a30DoXe8/edit?usp=sharing"",""กระบี่!I126"")"),15)</f>
        <v>15</v>
      </c>
      <c r="J201" s="195">
        <f ca="1">IFERROR(__xludf.DUMMYFUNCTION("IMPORTRANGE(""https://docs.google.com/spreadsheets/d/1IYY_tgx_IHuhSq3AJ5eI5OnqOPBNLWSHKh2a30DoXe8/edit?usp=sharing"",""กระบี่!J126"")"),15)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IFERROR(__xludf.DUMMYFUNCTION("IMPORTRANGE(""https://docs.google.com/spreadsheets/d/1IYY_tgx_IHuhSq3AJ5eI5OnqOPBNLWSHKh2a30DoXe8/edit?usp=sharing"",""กระบี่!J127"")"),0)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IFERROR(__xludf.DUMMYFUNCTION("IMPORTRANGE(""https://docs.google.com/spreadsheets/d/1IYY_tgx_IHuhSq3AJ5eI5OnqOPBNLWSHKh2a30DoXe8/edit?usp=sharing"",""กระบี่!J128"")"),0)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IFERROR(__xludf.DUMMYFUNCTION("IMPORTRANGE(""https://docs.google.com/spreadsheets/d/1IYY_tgx_IHuhSq3AJ5eI5OnqOPBNLWSHKh2a30DoXe8/edit?usp=sharing"",""กระบี่!I129"")"),0)</f>
        <v>0</v>
      </c>
      <c r="J204" s="290">
        <f ca="1">IFERROR(__xludf.DUMMYFUNCTION("IMPORTRANGE(""https://docs.google.com/spreadsheets/d/1IYY_tgx_IHuhSq3AJ5eI5OnqOPBNLWSHKh2a30DoXe8/edit?usp=sharing"",""กระบี่!J129"")"),0)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IFERROR(__xludf.DUMMYFUNCTION("IMPORTRANGE(""https://docs.google.com/spreadsheets/d/1IYY_tgx_IHuhSq3AJ5eI5OnqOPBNLWSHKh2a30DoXe8/edit?usp=sharing"",""กระบี่!J134"")"),0)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IFERROR(__xludf.DUMMYFUNCTION("IMPORTRANGE(""https://docs.google.com/spreadsheets/d/1IYY_tgx_IHuhSq3AJ5eI5OnqOPBNLWSHKh2a30DoXe8/edit?usp=sharing"",""กระบี่!J135"")"),0)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IFERROR(__xludf.DUMMYFUNCTION("IMPORTRANGE(""https://docs.google.com/spreadsheets/d/1IYY_tgx_IHuhSq3AJ5eI5OnqOPBNLWSHKh2a30DoXe8/edit?usp=sharing"",""กระบี่!J136"")"),0)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IFERROR(__xludf.DUMMYFUNCTION("IMPORTRANGE(""https://docs.google.com/spreadsheets/d/1IYY_tgx_IHuhSq3AJ5eI5OnqOPBNLWSHKh2a30DoXe8/edit?usp=sharing"",""กระบี่!J137"")"),0)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IFERROR(__xludf.DUMMYFUNCTION("IMPORTRANGE(""https://docs.google.com/spreadsheets/d/1IYY_tgx_IHuhSq3AJ5eI5OnqOPBNLWSHKh2a30DoXe8/edit?usp=sharing"",""กระบี่!I138"")"),0)</f>
        <v>0</v>
      </c>
      <c r="J213" s="210">
        <f ca="1">IFERROR(__xludf.DUMMYFUNCTION("IMPORTRANGE(""https://docs.google.com/spreadsheets/d/1IYY_tgx_IHuhSq3AJ5eI5OnqOPBNLWSHKh2a30DoXe8/edit?usp=sharing"",""กระบี่!J138"")"),0)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IFERROR(__xludf.DUMMYFUNCTION("IMPORTRANGE(""https://docs.google.com/spreadsheets/d/1IYY_tgx_IHuhSq3AJ5eI5OnqOPBNLWSHKh2a30DoXe8/edit?usp=sharing"",""กระบี่!I140"")"),0)</f>
        <v>0</v>
      </c>
      <c r="J215" s="210">
        <f ca="1">IFERROR(__xludf.DUMMYFUNCTION("IMPORTRANGE(""https://docs.google.com/spreadsheets/d/1IYY_tgx_IHuhSq3AJ5eI5OnqOPBNLWSHKh2a30DoXe8/edit?usp=sharing"",""กระบี่!J140"")"),0)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IFERROR(__xludf.DUMMYFUNCTION("IMPORTRANGE(""https://docs.google.com/spreadsheets/d/1IYY_tgx_IHuhSq3AJ5eI5OnqOPBNLWSHKh2a30DoXe8/edit?usp=sharing"",""กระบี่!I141"")"),0)</f>
        <v>0</v>
      </c>
      <c r="J216" s="210">
        <f ca="1">IFERROR(__xludf.DUMMYFUNCTION("IMPORTRANGE(""https://docs.google.com/spreadsheets/d/1IYY_tgx_IHuhSq3AJ5eI5OnqOPBNLWSHKh2a30DoXe8/edit?usp=sharing"",""กระบี่!J141"")"),0)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IFERROR(__xludf.DUMMYFUNCTION("IMPORTRANGE(""https://docs.google.com/spreadsheets/d/1IYY_tgx_IHuhSq3AJ5eI5OnqOPBNLWSHKh2a30DoXe8/edit?usp=sharing"",""กระบี่!J142"")"),0)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IFERROR(__xludf.DUMMYFUNCTION("IMPORTRANGE(""https://docs.google.com/spreadsheets/d/1IYY_tgx_IHuhSq3AJ5eI5OnqOPBNLWSHKh2a30DoXe8/edit?usp=sharing"",""กระบี่!J143"")"),0)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IFERROR(__xludf.DUMMYFUNCTION("IMPORTRANGE(""https://docs.google.com/spreadsheets/d/1IYY_tgx_IHuhSq3AJ5eI5OnqOPBNLWSHKh2a30DoXe8/edit?usp=sharing"",""กระบี่!I144"")"),13)</f>
        <v>13</v>
      </c>
      <c r="J219" s="273">
        <f ca="1">IFERROR(__xludf.DUMMYFUNCTION("IMPORTRANGE(""https://docs.google.com/spreadsheets/d/1IYY_tgx_IHuhSq3AJ5eI5OnqOPBNLWSHKh2a30DoXe8/edit?usp=sharing"",""กระบี่!J144"")"),13)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19295</v>
      </c>
      <c r="M220" s="156">
        <f t="shared" ca="1" si="72"/>
        <v>19295</v>
      </c>
      <c r="N220" s="156">
        <f t="shared" ca="1" si="72"/>
        <v>19295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19295</v>
      </c>
      <c r="M222" s="161">
        <f t="shared" ca="1" si="76"/>
        <v>19295</v>
      </c>
      <c r="N222" s="161">
        <f t="shared" ca="1" si="76"/>
        <v>19295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IFERROR(__xludf.DUMMYFUNCTION("IMPORTRANGE(""https://docs.google.com/spreadsheets/d/1Yj_ptqi66GCucihVvJfMjLAmec39IyEx_6qawtMGysU/edit?usp=sharing"",""สบก!BS81"")"),19295)</f>
        <v>19295</v>
      </c>
      <c r="N224" s="174">
        <f ca="1">IFERROR(__xludf.DUMMYFUNCTION("IMPORTRANGE(""https://docs.google.com/spreadsheets/d/1Yj_ptqi66GCucihVvJfMjLAmec39IyEx_6qawtMGysU/edit?usp=sharing"",""สบก!BT81"")"),19295)</f>
        <v>19295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IFERROR(__xludf.DUMMYFUNCTION("IMPORTRANGE(""https://docs.google.com/spreadsheets/d/1Yj_ptqi66GCucihVvJfMjLAmec39IyEx_6qawtMGysU/edit?usp=sharing"",""สบก!BO81"")"),0)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IFERROR(__xludf.DUMMYFUNCTION("IMPORTRANGE(""https://docs.google.com/spreadsheets/d/1Yj_ptqi66GCucihVvJfMjLAmec39IyEx_6qawtMGysU/edit?usp=sharing"",""สบก!BP81"")"),19295)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IFERROR(__xludf.DUMMYFUNCTION("IMPORTRANGE(""https://docs.google.com/spreadsheets/d/1Yj_ptqi66GCucihVvJfMjLAmec39IyEx_6qawtMGysU/edit?usp=sharing"",""สบก!BQ81"")"),0)</f>
        <v>0</v>
      </c>
      <c r="M228" s="101"/>
      <c r="N228" s="91">
        <f ca="1">IFERROR(__xludf.DUMMYFUNCTION("IMPORTRANGE(""https://docs.google.com/spreadsheets/d/1Yj_ptqi66GCucihVvJfMjLAmec39IyEx_6qawtMGysU/edit?usp=sharing"",""สบก!BU81"")"),0)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IFERROR(__xludf.DUMMYFUNCTION("IMPORTRANGE(""https://docs.google.com/spreadsheets/d/1IYY_tgx_IHuhSq3AJ5eI5OnqOPBNLWSHKh2a30DoXe8/edit?usp=sharing"",""กระบี่!I149"")"),13)</f>
        <v>13</v>
      </c>
      <c r="J229" s="273">
        <f ca="1">IFERROR(__xludf.DUMMYFUNCTION("IMPORTRANGE(""https://docs.google.com/spreadsheets/d/1IYY_tgx_IHuhSq3AJ5eI5OnqOPBNLWSHKh2a30DoXe8/edit?usp=sharing"",""กระบี่!J149"")"),13)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IFERROR(__xludf.DUMMYFUNCTION("IMPORTRANGE(""https://docs.google.com/spreadsheets/d/1IYY_tgx_IHuhSq3AJ5eI5OnqOPBNLWSHKh2a30DoXe8/edit?usp=sharing"",""กระบี่!J151"")"),0)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IFERROR(__xludf.DUMMYFUNCTION("IMPORTRANGE(""https://docs.google.com/spreadsheets/d/1IYY_tgx_IHuhSq3AJ5eI5OnqOPBNLWSHKh2a30DoXe8/edit?usp=sharing"",""กระบี่!J152"")"),1)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IFERROR(__xludf.DUMMYFUNCTION("IMPORTRANGE(""https://docs.google.com/spreadsheets/d/1IYY_tgx_IHuhSq3AJ5eI5OnqOPBNLWSHKh2a30DoXe8/edit?usp=sharing"",""กระบี่!J153"")"),1)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IFERROR(__xludf.DUMMYFUNCTION("IMPORTRANGE(""https://docs.google.com/spreadsheets/d/1IYY_tgx_IHuhSq3AJ5eI5OnqOPBNLWSHKh2a30DoXe8/edit?usp=sharing"",""กระบี่!J154"")"),1)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IFERROR(__xludf.DUMMYFUNCTION("IMPORTRANGE(""https://docs.google.com/spreadsheets/d/1IYY_tgx_IHuhSq3AJ5eI5OnqOPBNLWSHKh2a30DoXe8/edit?usp=sharing"",""กระบี่!I155"")"),13)</f>
        <v>13</v>
      </c>
      <c r="J235" s="195">
        <f ca="1">IFERROR(__xludf.DUMMYFUNCTION("IMPORTRANGE(""https://docs.google.com/spreadsheets/d/1IYY_tgx_IHuhSq3AJ5eI5OnqOPBNLWSHKh2a30DoXe8/edit?usp=sharing"",""กระบี่!J155"")"),13)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IFERROR(__xludf.DUMMYFUNCTION("IMPORTRANGE(""https://docs.google.com/spreadsheets/d/1IYY_tgx_IHuhSq3AJ5eI5OnqOPBNLWSHKh2a30DoXe8/edit?usp=sharing"",""กระบี่!J156"")"),0)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IFERROR(__xludf.DUMMYFUNCTION("IMPORTRANGE(""https://docs.google.com/spreadsheets/d/1IYY_tgx_IHuhSq3AJ5eI5OnqOPBNLWSHKh2a30DoXe8/edit?usp=sharing"",""กระบี่!J157"")"),0)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IFERROR(__xludf.DUMMYFUNCTION("IMPORTRANGE(""https://docs.google.com/spreadsheets/d/1IYY_tgx_IHuhSq3AJ5eI5OnqOPBNLWSHKh2a30DoXe8/edit?usp=sharing"",""กระบี่!I158"")"),0)</f>
        <v>0</v>
      </c>
      <c r="J238" s="273">
        <f ca="1">IFERROR(__xludf.DUMMYFUNCTION("IMPORTRANGE(""https://docs.google.com/spreadsheets/d/1IYY_tgx_IHuhSq3AJ5eI5OnqOPBNLWSHKh2a30DoXe8/edit?usp=sharing"",""กระบี่!J158"")"),0)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IFERROR(__xludf.DUMMYFUNCTION("IMPORTRANGE(""https://docs.google.com/spreadsheets/d/1IYY_tgx_IHuhSq3AJ5eI5OnqOPBNLWSHKh2a30DoXe8/edit?usp=sharing"",""กระบี่!J159"")"),"")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IFERROR(__xludf.DUMMYFUNCTION("IMPORTRANGE(""https://docs.google.com/spreadsheets/d/1IYY_tgx_IHuhSq3AJ5eI5OnqOPBNLWSHKh2a30DoXe8/edit?usp=sharing"",""กระบี่!J161"")"),0)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IFERROR(__xludf.DUMMYFUNCTION("IMPORTRANGE(""https://docs.google.com/spreadsheets/d/1IYY_tgx_IHuhSq3AJ5eI5OnqOPBNLWSHKh2a30DoXe8/edit?usp=sharing"",""กระบี่!J162"")"),0)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IFERROR(__xludf.DUMMYFUNCTION("IMPORTRANGE(""https://docs.google.com/spreadsheets/d/1IYY_tgx_IHuhSq3AJ5eI5OnqOPBNLWSHKh2a30DoXe8/edit?usp=sharing"",""กระบี่!J163"")"),0)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IFERROR(__xludf.DUMMYFUNCTION("IMPORTRANGE(""https://docs.google.com/spreadsheets/d/1IYY_tgx_IHuhSq3AJ5eI5OnqOPBNLWSHKh2a30DoXe8/edit?usp=sharing"",""กระบี่!I164"")"),0)</f>
        <v>0</v>
      </c>
      <c r="J244" s="194">
        <f ca="1">IFERROR(__xludf.DUMMYFUNCTION("IMPORTRANGE(""https://docs.google.com/spreadsheets/d/1IYY_tgx_IHuhSq3AJ5eI5OnqOPBNLWSHKh2a30DoXe8/edit?usp=sharing"",""กระบี่!J164"")"),0)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IFERROR(__xludf.DUMMYFUNCTION("IMPORTRANGE(""https://docs.google.com/spreadsheets/d/1IYY_tgx_IHuhSq3AJ5eI5OnqOPBNLWSHKh2a30DoXe8/edit?usp=sharing"",""กระบี่!J165"")"),0)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IFERROR(__xludf.DUMMYFUNCTION("IMPORTRANGE(""https://docs.google.com/spreadsheets/d/1IYY_tgx_IHuhSq3AJ5eI5OnqOPBNLWSHKh2a30DoXe8/edit?usp=sharing"",""กระบี่!J166"")"),0)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IFERROR(__xludf.DUMMYFUNCTION("IMPORTRANGE(""https://docs.google.com/spreadsheets/d/1IYY_tgx_IHuhSq3AJ5eI5OnqOPBNLWSHKh2a30DoXe8/edit?usp=sharing"",""กระบี่!I169"")"),0)</f>
        <v>0</v>
      </c>
      <c r="J249" s="322">
        <f ca="1">IFERROR(__xludf.DUMMYFUNCTION("IMPORTRANGE(""https://docs.google.com/spreadsheets/d/1IYY_tgx_IHuhSq3AJ5eI5OnqOPBNLWSHKh2a30DoXe8/edit?usp=sharing"",""กระบี่!J169"")"),0)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IFERROR(__xludf.DUMMYFUNCTION("IMPORTRANGE(""https://docs.google.com/spreadsheets/d/1Yj_ptqi66GCucihVvJfMjLAmec39IyEx_6qawtMGysU/edit?usp=sharing"",""สบก!CB81"")"),0)</f>
        <v>0</v>
      </c>
      <c r="N254" s="174">
        <f ca="1">IFERROR(__xludf.DUMMYFUNCTION("IMPORTRANGE(""https://docs.google.com/spreadsheets/d/1Yj_ptqi66GCucihVvJfMjLAmec39IyEx_6qawtMGysU/edit?usp=sharing"",""สบก!CC81"")"),0)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IFERROR(__xludf.DUMMYFUNCTION("IMPORTRANGE(""https://docs.google.com/spreadsheets/d/1Yj_ptqi66GCucihVvJfMjLAmec39IyEx_6qawtMGysU/edit?usp=sharing"",""สบก!BX81"")"),0)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IFERROR(__xludf.DUMMYFUNCTION("IMPORTRANGE(""https://docs.google.com/spreadsheets/d/1Yj_ptqi66GCucihVvJfMjLAmec39IyEx_6qawtMGysU/edit?usp=sharing"",""สบก!BY81"")"),0)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IFERROR(__xludf.DUMMYFUNCTION("IMPORTRANGE(""https://docs.google.com/spreadsheets/d/1Yj_ptqi66GCucihVvJfMjLAmec39IyEx_6qawtMGysU/edit?usp=sharing"",""สบก!BZ81"")"),0)</f>
        <v>0</v>
      </c>
      <c r="M258" s="101"/>
      <c r="N258" s="91">
        <f ca="1">IFERROR(__xludf.DUMMYFUNCTION("IMPORTRANGE(""https://docs.google.com/spreadsheets/d/1Yj_ptqi66GCucihVvJfMjLAmec39IyEx_6qawtMGysU/edit?usp=sharing"",""สบก!CD81"")"),0)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IFERROR(__xludf.DUMMYFUNCTION("IMPORTRANGE(""https://docs.google.com/spreadsheets/d/1IYY_tgx_IHuhSq3AJ5eI5OnqOPBNLWSHKh2a30DoXe8/edit?usp=sharing"",""กระบี่!J175"")"),0)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IFERROR(__xludf.DUMMYFUNCTION("IMPORTRANGE(""https://docs.google.com/spreadsheets/d/1IYY_tgx_IHuhSq3AJ5eI5OnqOPBNLWSHKh2a30DoXe8/edit?usp=sharing"",""กระบี่!J176"")"),0)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IFERROR(__xludf.DUMMYFUNCTION("IMPORTRANGE(""https://docs.google.com/spreadsheets/d/1IYY_tgx_IHuhSq3AJ5eI5OnqOPBNLWSHKh2a30DoXe8/edit?usp=sharing"",""กระบี่!J177"")"),0)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IFERROR(__xludf.DUMMYFUNCTION("IMPORTRANGE(""https://docs.google.com/spreadsheets/d/1IYY_tgx_IHuhSq3AJ5eI5OnqOPBNLWSHKh2a30DoXe8/edit?usp=sharing"",""กระบี่!J178"")"),0)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IFERROR(__xludf.DUMMYFUNCTION("IMPORTRANGE(""https://docs.google.com/spreadsheets/d/1IYY_tgx_IHuhSq3AJ5eI5OnqOPBNLWSHKh2a30DoXe8/edit?usp=sharing"",""กระบี่!I179"")"),0)</f>
        <v>0</v>
      </c>
      <c r="J264" s="195">
        <f ca="1">IFERROR(__xludf.DUMMYFUNCTION("IMPORTRANGE(""https://docs.google.com/spreadsheets/d/1IYY_tgx_IHuhSq3AJ5eI5OnqOPBNLWSHKh2a30DoXe8/edit?usp=sharing"",""กระบี่!J179"")"),0)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IFERROR(__xludf.DUMMYFUNCTION("IMPORTRANGE(""https://docs.google.com/spreadsheets/d/1IYY_tgx_IHuhSq3AJ5eI5OnqOPBNLWSHKh2a30DoXe8/edit?usp=sharing"",""กระบี่!I180"")"),0)</f>
        <v>0</v>
      </c>
      <c r="J265" s="195">
        <f ca="1">IFERROR(__xludf.DUMMYFUNCTION("IMPORTRANGE(""https://docs.google.com/spreadsheets/d/1IYY_tgx_IHuhSq3AJ5eI5OnqOPBNLWSHKh2a30DoXe8/edit?usp=sharing"",""กระบี่!J180"")"),0)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IFERROR(__xludf.DUMMYFUNCTION("IMPORTRANGE(""https://docs.google.com/spreadsheets/d/1IYY_tgx_IHuhSq3AJ5eI5OnqOPBNLWSHKh2a30DoXe8/edit?usp=sharing"",""กระบี่!I181"")"),0)</f>
        <v>0</v>
      </c>
      <c r="J266" s="195">
        <f ca="1">IFERROR(__xludf.DUMMYFUNCTION("IMPORTRANGE(""https://docs.google.com/spreadsheets/d/1IYY_tgx_IHuhSq3AJ5eI5OnqOPBNLWSHKh2a30DoXe8/edit?usp=sharing"",""กระบี่!J181"")"),0)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IFERROR(__xludf.DUMMYFUNCTION("IMPORTRANGE(""https://docs.google.com/spreadsheets/d/1IYY_tgx_IHuhSq3AJ5eI5OnqOPBNLWSHKh2a30DoXe8/edit?usp=sharing"",""กระบี่!I182"")"),0)</f>
        <v>0</v>
      </c>
      <c r="J267" s="195">
        <f ca="1">IFERROR(__xludf.DUMMYFUNCTION("IMPORTRANGE(""https://docs.google.com/spreadsheets/d/1IYY_tgx_IHuhSq3AJ5eI5OnqOPBNLWSHKh2a30DoXe8/edit?usp=sharing"",""กระบี่!J182"")"),0)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IFERROR(__xludf.DUMMYFUNCTION("IMPORTRANGE(""https://docs.google.com/spreadsheets/d/1IYY_tgx_IHuhSq3AJ5eI5OnqOPBNLWSHKh2a30DoXe8/edit?usp=sharing"",""กระบี่!J183"")"),0)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IFERROR(__xludf.DUMMYFUNCTION("IMPORTRANGE(""https://docs.google.com/spreadsheets/d/1IYY_tgx_IHuhSq3AJ5eI5OnqOPBNLWSHKh2a30DoXe8/edit?usp=sharing"",""กระบี่!J184"")"),0)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IFERROR(__xludf.DUMMYFUNCTION("IMPORTRANGE(""https://docs.google.com/spreadsheets/d/1IYY_tgx_IHuhSq3AJ5eI5OnqOPBNLWSHKh2a30DoXe8/edit?usp=sharing"",""กระบี่!I185"")"),0)</f>
        <v>0</v>
      </c>
      <c r="J270" s="322">
        <f ca="1">IFERROR(__xludf.DUMMYFUNCTION("IMPORTRANGE(""https://docs.google.com/spreadsheets/d/1IYY_tgx_IHuhSq3AJ5eI5OnqOPBNLWSHKh2a30DoXe8/edit?usp=sharing"",""กระบี่!J185"")"),0)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IFERROR(__xludf.DUMMYFUNCTION("IMPORTRANGE(""https://docs.google.com/spreadsheets/d/1Yj_ptqi66GCucihVvJfMjLAmec39IyEx_6qawtMGysU/edit?usp=sharing"",""สบก!CK81"")"),0)</f>
        <v>0</v>
      </c>
      <c r="N275" s="174">
        <f ca="1">IFERROR(__xludf.DUMMYFUNCTION("IMPORTRANGE(""https://docs.google.com/spreadsheets/d/1Yj_ptqi66GCucihVvJfMjLAmec39IyEx_6qawtMGysU/edit?usp=sharing"",""สบก!CL81"")"),0)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IFERROR(__xludf.DUMMYFUNCTION("IMPORTRANGE(""https://docs.google.com/spreadsheets/d/1Yj_ptqi66GCucihVvJfMjLAmec39IyEx_6qawtMGysU/edit?usp=sharing"",""สบก!CG81"")"),0)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IFERROR(__xludf.DUMMYFUNCTION("IMPORTRANGE(""https://docs.google.com/spreadsheets/d/1Yj_ptqi66GCucihVvJfMjLAmec39IyEx_6qawtMGysU/edit?usp=sharing"",""สบก!CH81"")"),0)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IFERROR(__xludf.DUMMYFUNCTION("IMPORTRANGE(""https://docs.google.com/spreadsheets/d/1Yj_ptqi66GCucihVvJfMjLAmec39IyEx_6qawtMGysU/edit?usp=sharing"",""สบก!CI81"")"),0)</f>
        <v>0</v>
      </c>
      <c r="M279" s="101"/>
      <c r="N279" s="91">
        <f ca="1">IFERROR(__xludf.DUMMYFUNCTION("IMPORTRANGE(""https://docs.google.com/spreadsheets/d/1Yj_ptqi66GCucihVvJfMjLAmec39IyEx_6qawtMGysU/edit?usp=sharing"",""สบก!CM81"")"),0)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IFERROR(__xludf.DUMMYFUNCTION("IMPORTRANGE(""https://docs.google.com/spreadsheets/d/1IYY_tgx_IHuhSq3AJ5eI5OnqOPBNLWSHKh2a30DoXe8/edit?usp=sharing"",""กระบี่!J191"")"),0)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IFERROR(__xludf.DUMMYFUNCTION("IMPORTRANGE(""https://docs.google.com/spreadsheets/d/1IYY_tgx_IHuhSq3AJ5eI5OnqOPBNLWSHKh2a30DoXe8/edit?usp=sharing"",""กระบี่!J192"")"),0)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IFERROR(__xludf.DUMMYFUNCTION("IMPORTRANGE(""https://docs.google.com/spreadsheets/d/1IYY_tgx_IHuhSq3AJ5eI5OnqOPBNLWSHKh2a30DoXe8/edit?usp=sharing"",""กระบี่!J193"")"),0)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IFERROR(__xludf.DUMMYFUNCTION("IMPORTRANGE(""https://docs.google.com/spreadsheets/d/1IYY_tgx_IHuhSq3AJ5eI5OnqOPBNLWSHKh2a30DoXe8/edit?usp=sharing"",""กระบี่!J194"")"),0)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IFERROR(__xludf.DUMMYFUNCTION("IMPORTRANGE(""https://docs.google.com/spreadsheets/d/1IYY_tgx_IHuhSq3AJ5eI5OnqOPBNLWSHKh2a30DoXe8/edit?usp=sharing"",""กระบี่!I195"")"),0)</f>
        <v>0</v>
      </c>
      <c r="J285" s="195">
        <f ca="1">IFERROR(__xludf.DUMMYFUNCTION("IMPORTRANGE(""https://docs.google.com/spreadsheets/d/1IYY_tgx_IHuhSq3AJ5eI5OnqOPBNLWSHKh2a30DoXe8/edit?usp=sharing"",""กระบี่!J195"")"),0)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IFERROR(__xludf.DUMMYFUNCTION("IMPORTRANGE(""https://docs.google.com/spreadsheets/d/1IYY_tgx_IHuhSq3AJ5eI5OnqOPBNLWSHKh2a30DoXe8/edit?usp=sharing"",""กระบี่!J196"")"),0)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IFERROR(__xludf.DUMMYFUNCTION("IMPORTRANGE(""https://docs.google.com/spreadsheets/d/1IYY_tgx_IHuhSq3AJ5eI5OnqOPBNLWSHKh2a30DoXe8/edit?usp=sharing"",""กระบี่!J197"")"),0)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IFERROR(__xludf.DUMMYFUNCTION("IMPORTRANGE(""https://docs.google.com/spreadsheets/d/1IYY_tgx_IHuhSq3AJ5eI5OnqOPBNLWSHKh2a30DoXe8/edit?usp=sharing"",""กระบี่!I199"")"),65)</f>
        <v>65</v>
      </c>
      <c r="J289" s="322">
        <f ca="1">IFERROR(__xludf.DUMMYFUNCTION("IMPORTRANGE(""https://docs.google.com/spreadsheets/d/1IYY_tgx_IHuhSq3AJ5eI5OnqOPBNLWSHKh2a30DoXe8/edit?usp=sharing"",""กระบี่!J199"")"),65)</f>
        <v>65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765740</v>
      </c>
      <c r="M290" s="156">
        <f t="shared" ca="1" si="88"/>
        <v>765740</v>
      </c>
      <c r="N290" s="156">
        <f t="shared" ca="1" si="88"/>
        <v>554532</v>
      </c>
      <c r="O290" s="155">
        <f t="shared" ref="O290:O292" ca="1" si="89">IF(L290&gt;0,N290*100/L290,0)</f>
        <v>72.417791939822919</v>
      </c>
      <c r="P290" s="155">
        <f t="shared" ref="P290:P292" ca="1" si="90">IF(M290&gt;0,N290*100/M290,0)</f>
        <v>72.417791939822919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765740</v>
      </c>
      <c r="M292" s="161">
        <f t="shared" ca="1" si="92"/>
        <v>765740</v>
      </c>
      <c r="N292" s="161">
        <f t="shared" ca="1" si="92"/>
        <v>554532</v>
      </c>
      <c r="O292" s="160">
        <f t="shared" ca="1" si="89"/>
        <v>72.417791939822919</v>
      </c>
      <c r="P292" s="160">
        <f t="shared" ca="1" si="90"/>
        <v>72.417791939822919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195740</v>
      </c>
      <c r="M294" s="173">
        <f ca="1">IFERROR(__xludf.DUMMYFUNCTION("IMPORTRANGE(""https://docs.google.com/spreadsheets/d/1Yj_ptqi66GCucihVvJfMjLAmec39IyEx_6qawtMGysU/edit?usp=sharing"",""สบก!CT81"")"),195740)</f>
        <v>195740</v>
      </c>
      <c r="N294" s="174">
        <f ca="1">IFERROR(__xludf.DUMMYFUNCTION("IMPORTRANGE(""https://docs.google.com/spreadsheets/d/1Yj_ptqi66GCucihVvJfMjLAmec39IyEx_6qawtMGysU/edit?usp=sharing"",""สบก!CU81"")"),84532)</f>
        <v>84532</v>
      </c>
      <c r="O294" s="175">
        <f ca="1">IF(L294&gt;0,N294*100/L294,0)</f>
        <v>43.185858792275468</v>
      </c>
      <c r="P294" s="175">
        <f ca="1">IF(M294&gt;0,N294*100/M294,0)</f>
        <v>43.185858792275468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IFERROR(__xludf.DUMMYFUNCTION("IMPORTRANGE(""https://docs.google.com/spreadsheets/d/1Yj_ptqi66GCucihVvJfMjLAmec39IyEx_6qawtMGysU/edit?usp=sharing"",""สบก!CP81"")"),0)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IFERROR(__xludf.DUMMYFUNCTION("IMPORTRANGE(""https://docs.google.com/spreadsheets/d/1Yj_ptqi66GCucihVvJfMjLAmec39IyEx_6qawtMGysU/edit?usp=sharing"",""สบก!CQ81"")"),195740)</f>
        <v>195740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IFERROR(__xludf.DUMMYFUNCTION("IMPORTRANGE(""https://docs.google.com/spreadsheets/d/1Yj_ptqi66GCucihVvJfMjLAmec39IyEx_6qawtMGysU/edit?usp=sharing"",""สบก!CR81"")"),570000)</f>
        <v>570000</v>
      </c>
      <c r="M298" s="101">
        <f ca="1">L298</f>
        <v>570000</v>
      </c>
      <c r="N298" s="91">
        <f ca="1">IFERROR(__xludf.DUMMYFUNCTION("IMPORTRANGE(""https://docs.google.com/spreadsheets/d/1Yj_ptqi66GCucihVvJfMjLAmec39IyEx_6qawtMGysU/edit?usp=sharing"",""สบก!CV81"")"),470000)</f>
        <v>470000</v>
      </c>
      <c r="O298" s="101">
        <f ca="1">IF(L298&gt;0,N298*100/L298,0)</f>
        <v>82.456140350877192</v>
      </c>
      <c r="P298" s="101">
        <f ca="1">IF(M298&gt;0,N298*100/M298,0)</f>
        <v>82.456140350877192</v>
      </c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IFERROR(__xludf.DUMMYFUNCTION("IMPORTRANGE(""https://docs.google.com/spreadsheets/d/1IYY_tgx_IHuhSq3AJ5eI5OnqOPBNLWSHKh2a30DoXe8/edit?usp=sharing"",""กระบี่!J205"")"),0)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IFERROR(__xludf.DUMMYFUNCTION("IMPORTRANGE(""https://docs.google.com/spreadsheets/d/1IYY_tgx_IHuhSq3AJ5eI5OnqOPBNLWSHKh2a30DoXe8/edit?usp=sharing"",""กระบี่!J206"")"),1)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IFERROR(__xludf.DUMMYFUNCTION("IMPORTRANGE(""https://docs.google.com/spreadsheets/d/1IYY_tgx_IHuhSq3AJ5eI5OnqOPBNLWSHKh2a30DoXe8/edit?usp=sharing"",""กระบี่!J207"")"),1)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IFERROR(__xludf.DUMMYFUNCTION("IMPORTRANGE(""https://docs.google.com/spreadsheets/d/1IYY_tgx_IHuhSq3AJ5eI5OnqOPBNLWSHKh2a30DoXe8/edit?usp=sharing"",""กระบี่!J208"")"),1)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IFERROR(__xludf.DUMMYFUNCTION("IMPORTRANGE(""https://docs.google.com/spreadsheets/d/1IYY_tgx_IHuhSq3AJ5eI5OnqOPBNLWSHKh2a30DoXe8/edit?usp=sharing"",""กระบี่!I209"")"),65)</f>
        <v>65</v>
      </c>
      <c r="J304" s="210">
        <f ca="1">IFERROR(__xludf.DUMMYFUNCTION("IMPORTRANGE(""https://docs.google.com/spreadsheets/d/1IYY_tgx_IHuhSq3AJ5eI5OnqOPBNLWSHKh2a30DoXe8/edit?usp=sharing"",""กระบี่!J209"")"),65)</f>
        <v>65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IFERROR(__xludf.DUMMYFUNCTION("IMPORTRANGE(""https://docs.google.com/spreadsheets/d/1IYY_tgx_IHuhSq3AJ5eI5OnqOPBNLWSHKh2a30DoXe8/edit?usp=sharing"",""กระบี่!I211"")"),65)</f>
        <v>65</v>
      </c>
      <c r="J306" s="210">
        <f ca="1">IFERROR(__xludf.DUMMYFUNCTION("IMPORTRANGE(""https://docs.google.com/spreadsheets/d/1IYY_tgx_IHuhSq3AJ5eI5OnqOPBNLWSHKh2a30DoXe8/edit?usp=sharing"",""กระบี่!J211"")"),0)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IFERROR(__xludf.DUMMYFUNCTION("IMPORTRANGE(""https://docs.google.com/spreadsheets/d/1IYY_tgx_IHuhSq3AJ5eI5OnqOPBNLWSHKh2a30DoXe8/edit?usp=sharing"",""กระบี่!J212"")"),0)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IFERROR(__xludf.DUMMYFUNCTION("IMPORTRANGE(""https://docs.google.com/spreadsheets/d/1IYY_tgx_IHuhSq3AJ5eI5OnqOPBNLWSHKh2a30DoXe8/edit?usp=sharing"",""กระบี่!J213"")"),0)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IFERROR(__xludf.DUMMYFUNCTION("IMPORTRANGE(""https://docs.google.com/spreadsheets/d/1IYY_tgx_IHuhSq3AJ5eI5OnqOPBNLWSHKh2a30DoXe8/edit?usp=sharing"",""กระบี่!I214"")"),2)</f>
        <v>2</v>
      </c>
      <c r="J309" s="339">
        <f ca="1">IFERROR(__xludf.DUMMYFUNCTION("IMPORTRANGE(""https://docs.google.com/spreadsheets/d/1IYY_tgx_IHuhSq3AJ5eI5OnqOPBNLWSHKh2a30DoXe8/edit?usp=sharing"",""กระบี่!J214"")"),2)</f>
        <v>2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5143600</v>
      </c>
      <c r="M310" s="156">
        <f t="shared" ca="1" si="93"/>
        <v>5228700</v>
      </c>
      <c r="N310" s="156">
        <f t="shared" ca="1" si="93"/>
        <v>243738.17</v>
      </c>
      <c r="O310" s="155">
        <f t="shared" ref="O310:O312" ca="1" si="94">IF(L310&gt;0,N310*100/L310,0)</f>
        <v>4.7386688311688312</v>
      </c>
      <c r="P310" s="155">
        <f t="shared" ref="P310:P312" ca="1" si="95">IF(M310&gt;0,N310*100/M310,0)</f>
        <v>4.661544360931015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5143600</v>
      </c>
      <c r="M312" s="161">
        <f t="shared" ca="1" si="97"/>
        <v>5228700</v>
      </c>
      <c r="N312" s="161">
        <f t="shared" ca="1" si="97"/>
        <v>243738.17</v>
      </c>
      <c r="O312" s="160">
        <f t="shared" ca="1" si="94"/>
        <v>4.7386688311688312</v>
      </c>
      <c r="P312" s="160">
        <f t="shared" ca="1" si="95"/>
        <v>4.661544360931015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243600</v>
      </c>
      <c r="M314" s="173">
        <f ca="1">IFERROR(__xludf.DUMMYFUNCTION("IMPORTRANGE(""https://docs.google.com/spreadsheets/d/1Yj_ptqi66GCucihVvJfMjLAmec39IyEx_6qawtMGysU/edit?usp=sharing"",""สบก!DC81"")"),328700)</f>
        <v>328700</v>
      </c>
      <c r="N314" s="174">
        <f ca="1">IFERROR(__xludf.DUMMYFUNCTION("IMPORTRANGE(""https://docs.google.com/spreadsheets/d/1Yj_ptqi66GCucihVvJfMjLAmec39IyEx_6qawtMGysU/edit?usp=sharing"",""สบก!DD81"")"),243738.17)</f>
        <v>243738.17</v>
      </c>
      <c r="O314" s="175">
        <f ca="1">IF(L314&gt;0,N314*100/L314,0)</f>
        <v>100.05672003284073</v>
      </c>
      <c r="P314" s="175">
        <f ca="1">IF(M314&gt;0,N314*100/M314,0)</f>
        <v>74.152166108913903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IFERROR(__xludf.DUMMYFUNCTION("IMPORTRANGE(""https://docs.google.com/spreadsheets/d/1Yj_ptqi66GCucihVvJfMjLAmec39IyEx_6qawtMGysU/edit?usp=sharing"",""สบก!CY81"")"),0)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IFERROR(__xludf.DUMMYFUNCTION("IMPORTRANGE(""https://docs.google.com/spreadsheets/d/1Yj_ptqi66GCucihVvJfMjLAmec39IyEx_6qawtMGysU/edit?usp=sharing"",""สบก!CZ81"")"),243600)</f>
        <v>243600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IFERROR(__xludf.DUMMYFUNCTION("IMPORTRANGE(""https://docs.google.com/spreadsheets/d/1Yj_ptqi66GCucihVvJfMjLAmec39IyEx_6qawtMGysU/edit?usp=sharing"",""สบก!DA81"")"),4900000)</f>
        <v>4900000</v>
      </c>
      <c r="M318" s="101">
        <f ca="1">L318</f>
        <v>4900000</v>
      </c>
      <c r="N318" s="91">
        <f ca="1">IFERROR(__xludf.DUMMYFUNCTION("IMPORTRANGE(""https://docs.google.com/spreadsheets/d/1Yj_ptqi66GCucihVvJfMjLAmec39IyEx_6qawtMGysU/edit?usp=sharing"",""สบก!DE81"")"),0)</f>
        <v>0</v>
      </c>
      <c r="O318" s="101">
        <f ca="1">IF(L318&gt;0,N318*100/L318,0)</f>
        <v>0</v>
      </c>
      <c r="P318" s="101">
        <f ca="1">IF(M318&gt;0,N318*100/M318,0)</f>
        <v>0</v>
      </c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IFERROR(__xludf.DUMMYFUNCTION("IMPORTRANGE(""https://docs.google.com/spreadsheets/d/1IYY_tgx_IHuhSq3AJ5eI5OnqOPBNLWSHKh2a30DoXe8/edit?usp=sharing"",""กระบี่!J220"")"),0)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IFERROR(__xludf.DUMMYFUNCTION("IMPORTRANGE(""https://docs.google.com/spreadsheets/d/1IYY_tgx_IHuhSq3AJ5eI5OnqOPBNLWSHKh2a30DoXe8/edit?usp=sharing"",""กระบี่!J221"")"),1)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IFERROR(__xludf.DUMMYFUNCTION("IMPORTRANGE(""https://docs.google.com/spreadsheets/d/1IYY_tgx_IHuhSq3AJ5eI5OnqOPBNLWSHKh2a30DoXe8/edit?usp=sharing"",""กระบี่!J222"")"),1)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IFERROR(__xludf.DUMMYFUNCTION("IMPORTRANGE(""https://docs.google.com/spreadsheets/d/1IYY_tgx_IHuhSq3AJ5eI5OnqOPBNLWSHKh2a30DoXe8/edit?usp=sharing"",""กระบี่!J223"")"),1)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IFERROR(__xludf.DUMMYFUNCTION("IMPORTRANGE(""https://docs.google.com/spreadsheets/d/1IYY_tgx_IHuhSq3AJ5eI5OnqOPBNLWSHKh2a30DoXe8/edit?usp=sharing"",""กระบี่!I224"")"),2)</f>
        <v>2</v>
      </c>
      <c r="J324" s="210">
        <f ca="1">IFERROR(__xludf.DUMMYFUNCTION("IMPORTRANGE(""https://docs.google.com/spreadsheets/d/1IYY_tgx_IHuhSq3AJ5eI5OnqOPBNLWSHKh2a30DoXe8/edit?usp=sharing"",""กระบี่!J224"")"),2)</f>
        <v>2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IFERROR(__xludf.DUMMYFUNCTION("IMPORTRANGE(""https://docs.google.com/spreadsheets/d/1IYY_tgx_IHuhSq3AJ5eI5OnqOPBNLWSHKh2a30DoXe8/edit?usp=sharing"",""กระบี่!J225"")"),0)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IFERROR(__xludf.DUMMYFUNCTION("IMPORTRANGE(""https://docs.google.com/spreadsheets/d/1IYY_tgx_IHuhSq3AJ5eI5OnqOPBNLWSHKh2a30DoXe8/edit?usp=sharing"",""กระบี่!J226"")"),0)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IFERROR(__xludf.DUMMYFUNCTION("IMPORTRANGE(""https://docs.google.com/spreadsheets/d/1IYY_tgx_IHuhSq3AJ5eI5OnqOPBNLWSHKh2a30DoXe8/edit?usp=sharing"",""กระบี่!I228"")"),280)</f>
        <v>280</v>
      </c>
      <c r="J328" s="345">
        <f ca="1">IFERROR(__xludf.DUMMYFUNCTION("IMPORTRANGE(""https://docs.google.com/spreadsheets/d/1IYY_tgx_IHuhSq3AJ5eI5OnqOPBNLWSHKh2a30DoXe8/edit?usp=sharing"",""กระบี่!J228"")"),43)</f>
        <v>43</v>
      </c>
      <c r="K328" s="323">
        <f ca="1">IF(I328&gt;0,J328*100/I328,0)</f>
        <v>15.357142857142858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832320</v>
      </c>
      <c r="M329" s="156">
        <f t="shared" ca="1" si="98"/>
        <v>613070</v>
      </c>
      <c r="N329" s="156">
        <f t="shared" ca="1" si="98"/>
        <v>432095.79</v>
      </c>
      <c r="O329" s="155">
        <f t="shared" ref="O329:O331" ca="1" si="99">IF(L329&gt;0,N329*100/L329,0)</f>
        <v>51.914622981545563</v>
      </c>
      <c r="P329" s="155">
        <f t="shared" ref="P329:P331" ca="1" si="100">IF(M329&gt;0,N329*100/M329,0)</f>
        <v>70.480661262172347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832320</v>
      </c>
      <c r="M331" s="161">
        <f t="shared" ca="1" si="102"/>
        <v>613070</v>
      </c>
      <c r="N331" s="161">
        <f t="shared" ca="1" si="102"/>
        <v>432095.79</v>
      </c>
      <c r="O331" s="160">
        <f t="shared" ca="1" si="99"/>
        <v>51.914622981545563</v>
      </c>
      <c r="P331" s="160">
        <f t="shared" ca="1" si="100"/>
        <v>70.480661262172347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800750</v>
      </c>
      <c r="M333" s="173">
        <f ca="1">IFERROR(__xludf.DUMMYFUNCTION("IMPORTRANGE(""https://docs.google.com/spreadsheets/d/1Yj_ptqi66GCucihVvJfMjLAmec39IyEx_6qawtMGysU/edit?usp=sharing"",""สบก!DL81"")"),581500)</f>
        <v>581500</v>
      </c>
      <c r="N333" s="174">
        <f ca="1">IFERROR(__xludf.DUMMYFUNCTION("IMPORTRANGE(""https://docs.google.com/spreadsheets/d/1Yj_ptqi66GCucihVvJfMjLAmec39IyEx_6qawtMGysU/edit?usp=sharing"",""สบก!DM81"")"),400525.79)</f>
        <v>400525.79</v>
      </c>
      <c r="O333" s="175">
        <f ca="1">IF(L333&gt;0,N333*100/L333,0)</f>
        <v>50.018831095847645</v>
      </c>
      <c r="P333" s="175">
        <f ca="1">IF(M333&gt;0,N333*100/M333,0)</f>
        <v>68.878037833190021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IFERROR(__xludf.DUMMYFUNCTION("IMPORTRANGE(""https://docs.google.com/spreadsheets/d/1Yj_ptqi66GCucihVvJfMjLAmec39IyEx_6qawtMGysU/edit?usp=sharing"",""สบก!DH81"")"),306000)</f>
        <v>306000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IFERROR(__xludf.DUMMYFUNCTION("IMPORTRANGE(""https://docs.google.com/spreadsheets/d/1Yj_ptqi66GCucihVvJfMjLAmec39IyEx_6qawtMGysU/edit?usp=sharing"",""สบก!DI81"")"),494750)</f>
        <v>494750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IFERROR(__xludf.DUMMYFUNCTION("IMPORTRANGE(""https://docs.google.com/spreadsheets/d/1Yj_ptqi66GCucihVvJfMjLAmec39IyEx_6qawtMGysU/edit?usp=sharing"",""สบก!DJ81"")"),31570)</f>
        <v>31570</v>
      </c>
      <c r="M337" s="101">
        <f ca="1">L337</f>
        <v>31570</v>
      </c>
      <c r="N337" s="91">
        <f ca="1">IFERROR(__xludf.DUMMYFUNCTION("IMPORTRANGE(""https://docs.google.com/spreadsheets/d/1Yj_ptqi66GCucihVvJfMjLAmec39IyEx_6qawtMGysU/edit?usp=sharing"",""สบก!DN81"")"),31570)</f>
        <v>31570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IFERROR(__xludf.DUMMYFUNCTION("IMPORTRANGE(""https://docs.google.com/spreadsheets/d/1IYY_tgx_IHuhSq3AJ5eI5OnqOPBNLWSHKh2a30DoXe8/edit?usp=sharing"",""กระบี่!I234"")"),0)</f>
        <v>0</v>
      </c>
      <c r="J339" s="194">
        <f ca="1">IFERROR(__xludf.DUMMYFUNCTION("IMPORTRANGE(""https://docs.google.com/spreadsheets/d/1IYY_tgx_IHuhSq3AJ5eI5OnqOPBNLWSHKh2a30DoXe8/edit?usp=sharing"",""กระบี่!J234"")"),270)</f>
        <v>270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IFERROR(__xludf.DUMMYFUNCTION("IMPORTRANGE(""https://docs.google.com/spreadsheets/d/1IYY_tgx_IHuhSq3AJ5eI5OnqOPBNLWSHKh2a30DoXe8/edit?usp=sharing"",""กระบี่!I235"")"),3200)</f>
        <v>3200</v>
      </c>
      <c r="J340" s="194">
        <f ca="1">IFERROR(__xludf.DUMMYFUNCTION("IMPORTRANGE(""https://docs.google.com/spreadsheets/d/1IYY_tgx_IHuhSq3AJ5eI5OnqOPBNLWSHKh2a30DoXe8/edit?usp=sharing"",""กระบี่!J235"")"),3849.14)</f>
        <v>3849.14</v>
      </c>
      <c r="K340" s="348">
        <f t="shared" ca="1" si="103"/>
        <v>120.285625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IFERROR(__xludf.DUMMYFUNCTION("IMPORTRANGE(""https://docs.google.com/spreadsheets/d/1IYY_tgx_IHuhSq3AJ5eI5OnqOPBNLWSHKh2a30DoXe8/edit?usp=sharing"",""กระบี่!I236"")"),280)</f>
        <v>280</v>
      </c>
      <c r="J341" s="194">
        <f ca="1">IFERROR(__xludf.DUMMYFUNCTION("IMPORTRANGE(""https://docs.google.com/spreadsheets/d/1IYY_tgx_IHuhSq3AJ5eI5OnqOPBNLWSHKh2a30DoXe8/edit?usp=sharing"",""กระบี่!J236"")"),141)</f>
        <v>141</v>
      </c>
      <c r="K341" s="348">
        <f t="shared" ca="1" si="103"/>
        <v>50.357142857142854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IFERROR(__xludf.DUMMYFUNCTION("IMPORTRANGE(""https://docs.google.com/spreadsheets/d/1IYY_tgx_IHuhSq3AJ5eI5OnqOPBNLWSHKh2a30DoXe8/edit?usp=sharing"",""กระบี่!I237"")"),0)</f>
        <v>0</v>
      </c>
      <c r="J342" s="194">
        <f ca="1">IFERROR(__xludf.DUMMYFUNCTION("IMPORTRANGE(""https://docs.google.com/spreadsheets/d/1IYY_tgx_IHuhSq3AJ5eI5OnqOPBNLWSHKh2a30DoXe8/edit?usp=sharing"",""กระบี่!J237"")"),2170.25)</f>
        <v>2170.25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IFERROR(__xludf.DUMMYFUNCTION("IMPORTRANGE(""https://docs.google.com/spreadsheets/d/1IYY_tgx_IHuhSq3AJ5eI5OnqOPBNLWSHKh2a30DoXe8/edit?usp=sharing"",""กระบี่!I238"")"),280)</f>
        <v>280</v>
      </c>
      <c r="J343" s="194">
        <f ca="1">IFERROR(__xludf.DUMMYFUNCTION("IMPORTRANGE(""https://docs.google.com/spreadsheets/d/1IYY_tgx_IHuhSq3AJ5eI5OnqOPBNLWSHKh2a30DoXe8/edit?usp=sharing"",""กระบี่!J238"")"),0)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IFERROR(__xludf.DUMMYFUNCTION("IMPORTRANGE(""https://docs.google.com/spreadsheets/d/1IYY_tgx_IHuhSq3AJ5eI5OnqOPBNLWSHKh2a30DoXe8/edit?usp=sharing"",""กระบี่!I239"")"),0)</f>
        <v>0</v>
      </c>
      <c r="J344" s="194">
        <f ca="1">IFERROR(__xludf.DUMMYFUNCTION("IMPORTRANGE(""https://docs.google.com/spreadsheets/d/1IYY_tgx_IHuhSq3AJ5eI5OnqOPBNLWSHKh2a30DoXe8/edit?usp=sharing"",""กระบี่!J239"")"),0)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IFERROR(__xludf.DUMMYFUNCTION("IMPORTRANGE(""https://docs.google.com/spreadsheets/d/1IYY_tgx_IHuhSq3AJ5eI5OnqOPBNLWSHKh2a30DoXe8/edit?usp=sharing"",""กระบี่!I240"")"),280)</f>
        <v>280</v>
      </c>
      <c r="J345" s="194">
        <f ca="1">IFERROR(__xludf.DUMMYFUNCTION("IMPORTRANGE(""https://docs.google.com/spreadsheets/d/1IYY_tgx_IHuhSq3AJ5eI5OnqOPBNLWSHKh2a30DoXe8/edit?usp=sharing"",""กระบี่!J240"")"),43)</f>
        <v>43</v>
      </c>
      <c r="K345" s="348">
        <f t="shared" ca="1" si="103"/>
        <v>15.357142857142858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IFERROR(__xludf.DUMMYFUNCTION("IMPORTRANGE(""https://docs.google.com/spreadsheets/d/1IYY_tgx_IHuhSq3AJ5eI5OnqOPBNLWSHKh2a30DoXe8/edit?usp=sharing"",""กระบี่!I241"")"),0)</f>
        <v>0</v>
      </c>
      <c r="J346" s="194">
        <f ca="1">IFERROR(__xludf.DUMMYFUNCTION("IMPORTRANGE(""https://docs.google.com/spreadsheets/d/1IYY_tgx_IHuhSq3AJ5eI5OnqOPBNLWSHKh2a30DoXe8/edit?usp=sharing"",""กระบี่!J241"")"),808.71)</f>
        <v>808.71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IFERROR(__xludf.DUMMYFUNCTION("IMPORTRANGE(""https://docs.google.com/spreadsheets/d/1IYY_tgx_IHuhSq3AJ5eI5OnqOPBNLWSHKh2a30DoXe8/edit?usp=sharing"",""กระบี่!L242"")"),1220672.8)</f>
        <v>1220672.8</v>
      </c>
      <c r="M347" s="364"/>
      <c r="N347" s="364">
        <f ca="1">IFERROR(__xludf.DUMMYFUNCTION("IMPORTRANGE(""https://docs.google.com/spreadsheets/d/1IYY_tgx_IHuhSq3AJ5eI5OnqOPBNLWSHKh2a30DoXe8/edit?usp=sharing"",""กระบี่!M242"")"),405227.36)</f>
        <v>405227.36</v>
      </c>
      <c r="O347" s="364">
        <f ca="1">+IF(L347&gt;0,N347*100/L347,0)</f>
        <v>33.197050020283896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IFERROR(__xludf.DUMMYFUNCTION("IMPORTRANGE(""https://docs.google.com/spreadsheets/d/1IYY_tgx_IHuhSq3AJ5eI5OnqOPBNLWSHKh2a30DoXe8/edit?usp=sharing"",""กระบี่!I244"")"),0)</f>
        <v>0</v>
      </c>
      <c r="J349" s="377">
        <f ca="1">IFERROR(__xludf.DUMMYFUNCTION("IMPORTRANGE(""https://docs.google.com/spreadsheets/d/1IYY_tgx_IHuhSq3AJ5eI5OnqOPBNLWSHKh2a30DoXe8/edit?usp=sharing"",""กระบี่!J244"")"),0)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IFERROR(__xludf.DUMMYFUNCTION("IMPORTRANGE(""https://docs.google.com/spreadsheets/d/1IYY_tgx_IHuhSq3AJ5eI5OnqOPBNLWSHKh2a30DoXe8/edit?usp=sharing"",""กระบี่!L244"")"),0)</f>
        <v>0</v>
      </c>
      <c r="M349" s="379"/>
      <c r="N349" s="379">
        <f ca="1">IFERROR(__xludf.DUMMYFUNCTION("IMPORTRANGE(""https://docs.google.com/spreadsheets/d/1IYY_tgx_IHuhSq3AJ5eI5OnqOPBNLWSHKh2a30DoXe8/edit?usp=sharing"",""กระบี่!M244"")"),0)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IFERROR(__xludf.DUMMYFUNCTION("IMPORTRANGE(""https://docs.google.com/spreadsheets/d/1IYY_tgx_IHuhSq3AJ5eI5OnqOPBNLWSHKh2a30DoXe8/edit?usp=sharing"",""กระบี่!I245"")"),0)</f>
        <v>0</v>
      </c>
      <c r="J350" s="377">
        <f ca="1">IFERROR(__xludf.DUMMYFUNCTION("IMPORTRANGE(""https://docs.google.com/spreadsheets/d/1IYY_tgx_IHuhSq3AJ5eI5OnqOPBNLWSHKh2a30DoXe8/edit?usp=sharing"",""กระบี่!J245"")"),0)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IFERROR(__xludf.DUMMYFUNCTION("IMPORTRANGE(""https://docs.google.com/spreadsheets/d/1IYY_tgx_IHuhSq3AJ5eI5OnqOPBNLWSHKh2a30DoXe8/edit?usp=sharing"",""กระบี่!L246"")"),0)</f>
        <v>0</v>
      </c>
      <c r="M351" s="168"/>
      <c r="N351" s="168">
        <f ca="1">IFERROR(__xludf.DUMMYFUNCTION("IMPORTRANGE(""https://docs.google.com/spreadsheets/d/1IYY_tgx_IHuhSq3AJ5eI5OnqOPBNLWSHKh2a30DoXe8/edit?usp=sharing"",""กระบี่!M246"")"),0)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IFERROR(__xludf.DUMMYFUNCTION("IMPORTRANGE(""https://docs.google.com/spreadsheets/d/1IYY_tgx_IHuhSq3AJ5eI5OnqOPBNLWSHKh2a30DoXe8/edit?usp=sharing"",""กระบี่!L247"")"),0)</f>
        <v>0</v>
      </c>
      <c r="M352" s="169"/>
      <c r="N352" s="168">
        <f ca="1">IFERROR(__xludf.DUMMYFUNCTION("IMPORTRANGE(""https://docs.google.com/spreadsheets/d/1IYY_tgx_IHuhSq3AJ5eI5OnqOPBNLWSHKh2a30DoXe8/edit?usp=sharing"",""กระบี่!M247"")"),0)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IFERROR(__xludf.DUMMYFUNCTION("IMPORTRANGE(""https://docs.google.com/spreadsheets/d/1IYY_tgx_IHuhSq3AJ5eI5OnqOPBNLWSHKh2a30DoXe8/edit?usp=sharing"",""กระบี่!L248"")"),0)</f>
        <v>0</v>
      </c>
      <c r="M353" s="175"/>
      <c r="N353" s="175">
        <f ca="1">IFERROR(__xludf.DUMMYFUNCTION("IMPORTRANGE(""https://docs.google.com/spreadsheets/d/1IYY_tgx_IHuhSq3AJ5eI5OnqOPBNLWSHKh2a30DoXe8/edit?usp=sharing"",""กระบี่!M248"")"),0)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IFERROR(__xludf.DUMMYFUNCTION("IMPORTRANGE(""https://docs.google.com/spreadsheets/d/1IYY_tgx_IHuhSq3AJ5eI5OnqOPBNLWSHKh2a30DoXe8/edit?usp=sharing"",""กระบี่!L249"")"),0)</f>
        <v>0</v>
      </c>
      <c r="M354" s="175"/>
      <c r="N354" s="172">
        <f ca="1">IFERROR(__xludf.DUMMYFUNCTION("IMPORTRANGE(""https://docs.google.com/spreadsheets/d/1IYY_tgx_IHuhSq3AJ5eI5OnqOPBNLWSHKh2a30DoXe8/edit?usp=sharing"",""กระบี่!M249"")"),0)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IFERROR(__xludf.DUMMYFUNCTION("IMPORTRANGE(""https://docs.google.com/spreadsheets/d/1IYY_tgx_IHuhSq3AJ5eI5OnqOPBNLWSHKh2a30DoXe8/edit?usp=sharing"",""กระบี่!M250"")"),0)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IFERROR(__xludf.DUMMYFUNCTION("IMPORTRANGE(""https://docs.google.com/spreadsheets/d/1IYY_tgx_IHuhSq3AJ5eI5OnqOPBNLWSHKh2a30DoXe8/edit?usp=sharing"",""กระบี่!M251"")"),0)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IFERROR(__xludf.DUMMYFUNCTION("IMPORTRANGE(""https://docs.google.com/spreadsheets/d/1IYY_tgx_IHuhSq3AJ5eI5OnqOPBNLWSHKh2a30DoXe8/edit?usp=sharing"",""กระบี่!M252"")"),0)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IFERROR(__xludf.DUMMYFUNCTION("IMPORTRANGE(""https://docs.google.com/spreadsheets/d/1IYY_tgx_IHuhSq3AJ5eI5OnqOPBNLWSHKh2a30DoXe8/edit?usp=sharing"",""กระบี่!M253"")"),0)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IFERROR(__xludf.DUMMYFUNCTION("IMPORTRANGE(""https://docs.google.com/spreadsheets/d/1IYY_tgx_IHuhSq3AJ5eI5OnqOPBNLWSHKh2a30DoXe8/edit?usp=sharing"",""กระบี่!J255"")"),0)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IFERROR(__xludf.DUMMYFUNCTION("IMPORTRANGE(""https://docs.google.com/spreadsheets/d/1IYY_tgx_IHuhSq3AJ5eI5OnqOPBNLWSHKh2a30DoXe8/edit?usp=sharing"",""กระบี่!J256"")"),0)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IFERROR(__xludf.DUMMYFUNCTION("IMPORTRANGE(""https://docs.google.com/spreadsheets/d/1IYY_tgx_IHuhSq3AJ5eI5OnqOPBNLWSHKh2a30DoXe8/edit?usp=sharing"",""กระบี่!J257"")"),0)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IFERROR(__xludf.DUMMYFUNCTION("IMPORTRANGE(""https://docs.google.com/spreadsheets/d/1IYY_tgx_IHuhSq3AJ5eI5OnqOPBNLWSHKh2a30DoXe8/edit?usp=sharing"",""กระบี่!J258"")"),0)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IFERROR(__xludf.DUMMYFUNCTION("IMPORTRANGE(""https://docs.google.com/spreadsheets/d/1IYY_tgx_IHuhSq3AJ5eI5OnqOPBNLWSHKh2a30DoXe8/edit?usp=sharing"",""กระบี่!J166"")"),0)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IFERROR(__xludf.DUMMYFUNCTION("IMPORTRANGE(""https://docs.google.com/spreadsheets/d/1IYY_tgx_IHuhSq3AJ5eI5OnqOPBNLWSHKh2a30DoXe8/edit?usp=sharing"",""กระบี่!J166"")"),0)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IFERROR(__xludf.DUMMYFUNCTION("IMPORTRANGE(""https://docs.google.com/spreadsheets/d/1IYY_tgx_IHuhSq3AJ5eI5OnqOPBNLWSHKh2a30DoXe8/edit?usp=sharing"",""กระบี่!J166"")"),0)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IFERROR(__xludf.DUMMYFUNCTION("IMPORTRANGE(""https://docs.google.com/spreadsheets/d/1IYY_tgx_IHuhSq3AJ5eI5OnqOPBNLWSHKh2a30DoXe8/edit?usp=sharing"",""กระบี่!J166"")"),0)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IFERROR(__xludf.DUMMYFUNCTION("IMPORTRANGE(""https://docs.google.com/spreadsheets/d/1IYY_tgx_IHuhSq3AJ5eI5OnqOPBNLWSHKh2a30DoXe8/edit?usp=sharing"",""กระบี่!I263"")"),0)</f>
        <v>0</v>
      </c>
      <c r="J368" s="194">
        <f ca="1">IFERROR(__xludf.DUMMYFUNCTION("IMPORTRANGE(""https://docs.google.com/spreadsheets/d/1IYY_tgx_IHuhSq3AJ5eI5OnqOPBNLWSHKh2a30DoXe8/edit?usp=sharing"",""กระบี่!J263"")"),0)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IFERROR(__xludf.DUMMYFUNCTION("IMPORTRANGE(""https://docs.google.com/spreadsheets/d/1IYY_tgx_IHuhSq3AJ5eI5OnqOPBNLWSHKh2a30DoXe8/edit?usp=sharing"",""กระบี่!I164"")"),0)</f>
        <v>0</v>
      </c>
      <c r="J369" s="210">
        <f ca="1">IFERROR(__xludf.DUMMYFUNCTION("IMPORTRANGE(""https://docs.google.com/spreadsheets/d/1IYY_tgx_IHuhSq3AJ5eI5OnqOPBNLWSHKh2a30DoXe8/edit?usp=sharing"",""กระบี่!J164"")"),0)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IFERROR(__xludf.DUMMYFUNCTION("IMPORTRANGE(""https://docs.google.com/spreadsheets/d/1IYY_tgx_IHuhSq3AJ5eI5OnqOPBNLWSHKh2a30DoXe8/edit?usp=sharing"",""กระบี่!I265"")"),0)</f>
        <v>0</v>
      </c>
      <c r="J370" s="210">
        <f ca="1">IFERROR(__xludf.DUMMYFUNCTION("IMPORTRANGE(""https://docs.google.com/spreadsheets/d/1IYY_tgx_IHuhSq3AJ5eI5OnqOPBNLWSHKh2a30DoXe8/edit?usp=sharing"",""กระบี่!J265"")"),0)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IFERROR(__xludf.DUMMYFUNCTION("IMPORTRANGE(""https://docs.google.com/spreadsheets/d/1IYY_tgx_IHuhSq3AJ5eI5OnqOPBNLWSHKh2a30DoXe8/edit?usp=sharing"",""กระบี่!I164"")"),0)</f>
        <v>0</v>
      </c>
      <c r="J371" s="195">
        <f ca="1">IFERROR(__xludf.DUMMYFUNCTION("IMPORTRANGE(""https://docs.google.com/spreadsheets/d/1IYY_tgx_IHuhSq3AJ5eI5OnqOPBNLWSHKh2a30DoXe8/edit?usp=sharing"",""กระบี่!J164"")"),0)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IFERROR(__xludf.DUMMYFUNCTION("IMPORTRANGE(""https://docs.google.com/spreadsheets/d/1IYY_tgx_IHuhSq3AJ5eI5OnqOPBNLWSHKh2a30DoXe8/edit?usp=sharing"",""กระบี่!I267"")"),0)</f>
        <v>0</v>
      </c>
      <c r="J372" s="195">
        <f ca="1">IFERROR(__xludf.DUMMYFUNCTION("IMPORTRANGE(""https://docs.google.com/spreadsheets/d/1IYY_tgx_IHuhSq3AJ5eI5OnqOPBNLWSHKh2a30DoXe8/edit?usp=sharing"",""กระบี่!J267"")"),0)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IFERROR(__xludf.DUMMYFUNCTION("IMPORTRANGE(""https://docs.google.com/spreadsheets/d/1IYY_tgx_IHuhSq3AJ5eI5OnqOPBNLWSHKh2a30DoXe8/edit?usp=sharing"",""กระบี่!I164"")"),0)</f>
        <v>0</v>
      </c>
      <c r="J373" s="210">
        <f ca="1">IFERROR(__xludf.DUMMYFUNCTION("IMPORTRANGE(""https://docs.google.com/spreadsheets/d/1IYY_tgx_IHuhSq3AJ5eI5OnqOPBNLWSHKh2a30DoXe8/edit?usp=sharing"",""กระบี่!J164"")"),0)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IFERROR(__xludf.DUMMYFUNCTION("IMPORTRANGE(""https://docs.google.com/spreadsheets/d/1IYY_tgx_IHuhSq3AJ5eI5OnqOPBNLWSHKh2a30DoXe8/edit?usp=sharing"",""กระบี่!I164"")"),0)</f>
        <v>0</v>
      </c>
      <c r="J374" s="194">
        <f ca="1">IFERROR(__xludf.DUMMYFUNCTION("IMPORTRANGE(""https://docs.google.com/spreadsheets/d/1IYY_tgx_IHuhSq3AJ5eI5OnqOPBNLWSHKh2a30DoXe8/edit?usp=sharing"",""กระบี่!J164"")"),0)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IFERROR(__xludf.DUMMYFUNCTION("IMPORTRANGE(""https://docs.google.com/spreadsheets/d/1IYY_tgx_IHuhSq3AJ5eI5OnqOPBNLWSHKh2a30DoXe8/edit?usp=sharing"",""กระบี่!I270"")"),0)</f>
        <v>0</v>
      </c>
      <c r="J375" s="194">
        <f ca="1">IFERROR(__xludf.DUMMYFUNCTION("IMPORTRANGE(""https://docs.google.com/spreadsheets/d/1IYY_tgx_IHuhSq3AJ5eI5OnqOPBNLWSHKh2a30DoXe8/edit?usp=sharing"",""กระบี่!J270"")"),0)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IFERROR(__xludf.DUMMYFUNCTION("IMPORTRANGE(""https://docs.google.com/spreadsheets/d/1IYY_tgx_IHuhSq3AJ5eI5OnqOPBNLWSHKh2a30DoXe8/edit?usp=sharing"",""กระบี่!I271"")"),0)</f>
        <v>0</v>
      </c>
      <c r="J376" s="195">
        <f ca="1">IFERROR(__xludf.DUMMYFUNCTION("IMPORTRANGE(""https://docs.google.com/spreadsheets/d/1IYY_tgx_IHuhSq3AJ5eI5OnqOPBNLWSHKh2a30DoXe8/edit?usp=sharing"",""กระบี่!J271"")"),0)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IFERROR(__xludf.DUMMYFUNCTION("IMPORTRANGE(""https://docs.google.com/spreadsheets/d/1IYY_tgx_IHuhSq3AJ5eI5OnqOPBNLWSHKh2a30DoXe8/edit?usp=sharing"",""กระบี่!I272"")"),0)</f>
        <v>0</v>
      </c>
      <c r="J377" s="210">
        <f ca="1">IFERROR(__xludf.DUMMYFUNCTION("IMPORTRANGE(""https://docs.google.com/spreadsheets/d/1IYY_tgx_IHuhSq3AJ5eI5OnqOPBNLWSHKh2a30DoXe8/edit?usp=sharing"",""กระบี่!J272"")"),0)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IFERROR(__xludf.DUMMYFUNCTION("IMPORTRANGE(""https://docs.google.com/spreadsheets/d/1IYY_tgx_IHuhSq3AJ5eI5OnqOPBNLWSHKh2a30DoXe8/edit?usp=sharing"",""กระบี่!J273"")"),0)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IFERROR(__xludf.DUMMYFUNCTION("IMPORTRANGE(""https://docs.google.com/spreadsheets/d/1IYY_tgx_IHuhSq3AJ5eI5OnqOPBNLWSHKh2a30DoXe8/edit?usp=sharing"",""กระบี่!J274"")"),0)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IFERROR(__xludf.DUMMYFUNCTION("IMPORTRANGE(""https://docs.google.com/spreadsheets/d/1IYY_tgx_IHuhSq3AJ5eI5OnqOPBNLWSHKh2a30DoXe8/edit?usp=sharing"",""กระบี่!I275"")"),300)</f>
        <v>300</v>
      </c>
      <c r="J380" s="377">
        <f ca="1">IFERROR(__xludf.DUMMYFUNCTION("IMPORTRANGE(""https://docs.google.com/spreadsheets/d/1IYY_tgx_IHuhSq3AJ5eI5OnqOPBNLWSHKh2a30DoXe8/edit?usp=sharing"",""กระบี่!J275"")"),0)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IFERROR(__xludf.DUMMYFUNCTION("IMPORTRANGE(""https://docs.google.com/spreadsheets/d/1IYY_tgx_IHuhSq3AJ5eI5OnqOPBNLWSHKh2a30DoXe8/edit?usp=sharing"",""กระบี่!L275"")"),293900)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IFERROR(__xludf.DUMMYFUNCTION("IMPORTRANGE(""https://docs.google.com/spreadsheets/d/1IYY_tgx_IHuhSq3AJ5eI5OnqOPBNLWSHKh2a30DoXe8/edit?usp=sharing"",""กระบี่!M275"")"),82580)</f>
        <v>82580</v>
      </c>
      <c r="O380" s="379">
        <f ca="1">+IF(L380&gt;0,N380*100/L380,0)</f>
        <v>28.097992514460699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IFERROR(__xludf.DUMMYFUNCTION("IMPORTRANGE(""https://docs.google.com/spreadsheets/d/1IYY_tgx_IHuhSq3AJ5eI5OnqOPBNLWSHKh2a30DoXe8/edit?usp=sharing"",""กระบี่!I276"")"),30)</f>
        <v>30</v>
      </c>
      <c r="J381" s="377">
        <f ca="1">IFERROR(__xludf.DUMMYFUNCTION("IMPORTRANGE(""https://docs.google.com/spreadsheets/d/1IYY_tgx_IHuhSq3AJ5eI5OnqOPBNLWSHKh2a30DoXe8/edit?usp=sharing"",""กระบี่!J276"")"),30)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IFERROR(__xludf.DUMMYFUNCTION("IMPORTRANGE(""https://docs.google.com/spreadsheets/d/1IYY_tgx_IHuhSq3AJ5eI5OnqOPBNLWSHKh2a30DoXe8/edit?usp=sharing"",""กระบี่!L277"")"),0)</f>
        <v>0</v>
      </c>
      <c r="M382" s="168"/>
      <c r="N382" s="168">
        <f ca="1">IFERROR(__xludf.DUMMYFUNCTION("IMPORTRANGE(""https://docs.google.com/spreadsheets/d/1IYY_tgx_IHuhSq3AJ5eI5OnqOPBNLWSHKh2a30DoXe8/edit?usp=sharing"",""กระบี่!M277"")"),0)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IFERROR(__xludf.DUMMYFUNCTION("IMPORTRANGE(""https://docs.google.com/spreadsheets/d/1IYY_tgx_IHuhSq3AJ5eI5OnqOPBNLWSHKh2a30DoXe8/edit?usp=sharing"",""กระบี่!L278"")"),293900)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IFERROR(__xludf.DUMMYFUNCTION("IMPORTRANGE(""https://docs.google.com/spreadsheets/d/1IYY_tgx_IHuhSq3AJ5eI5OnqOPBNLWSHKh2a30DoXe8/edit?usp=sharing"",""กระบี่!M278"")"),82580)</f>
        <v>82580</v>
      </c>
      <c r="O383" s="169">
        <f t="shared" ca="1" si="109"/>
        <v>28.097992514460699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IFERROR(__xludf.DUMMYFUNCTION("IMPORTRANGE(""https://docs.google.com/spreadsheets/d/1IYY_tgx_IHuhSq3AJ5eI5OnqOPBNLWSHKh2a30DoXe8/edit?usp=sharing"",""กระบี่!L279"")"),0)</f>
        <v>0</v>
      </c>
      <c r="M384" s="175"/>
      <c r="N384" s="175">
        <f ca="1">IFERROR(__xludf.DUMMYFUNCTION("IMPORTRANGE(""https://docs.google.com/spreadsheets/d/1IYY_tgx_IHuhSq3AJ5eI5OnqOPBNLWSHKh2a30DoXe8/edit?usp=sharing"",""กระบี่!M279"")"),0)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IFERROR(__xludf.DUMMYFUNCTION("IMPORTRANGE(""https://docs.google.com/spreadsheets/d/1IYY_tgx_IHuhSq3AJ5eI5OnqOPBNLWSHKh2a30DoXe8/edit?usp=sharing"",""กระบี่!L280"")"),293900)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IFERROR(__xludf.DUMMYFUNCTION("IMPORTRANGE(""https://docs.google.com/spreadsheets/d/1IYY_tgx_IHuhSq3AJ5eI5OnqOPBNLWSHKh2a30DoXe8/edit?usp=sharing"",""กระบี่!M280"")"),82580)</f>
        <v>82580</v>
      </c>
      <c r="O385" s="175">
        <f t="shared" ca="1" si="109"/>
        <v>28.097992514460699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IFERROR(__xludf.DUMMYFUNCTION("IMPORTRANGE(""https://docs.google.com/spreadsheets/d/1IYY_tgx_IHuhSq3AJ5eI5OnqOPBNLWSHKh2a30DoXe8/edit?usp=sharing"",""กระบี่!M281"")"),76200)</f>
        <v>76200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IFERROR(__xludf.DUMMYFUNCTION("IMPORTRANGE(""https://docs.google.com/spreadsheets/d/1IYY_tgx_IHuhSq3AJ5eI5OnqOPBNLWSHKh2a30DoXe8/edit?usp=sharing"",""กระบี่!M282"")"),0)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IFERROR(__xludf.DUMMYFUNCTION("IMPORTRANGE(""https://docs.google.com/spreadsheets/d/1IYY_tgx_IHuhSq3AJ5eI5OnqOPBNLWSHKh2a30DoXe8/edit?usp=sharing"",""กระบี่!M283"")"),0)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IFERROR(__xludf.DUMMYFUNCTION("IMPORTRANGE(""https://docs.google.com/spreadsheets/d/1IYY_tgx_IHuhSq3AJ5eI5OnqOPBNLWSHKh2a30DoXe8/edit?usp=sharing"",""กระบี่!M284"")"),6380)</f>
        <v>6380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IFERROR(__xludf.DUMMYFUNCTION("IMPORTRANGE(""https://docs.google.com/spreadsheets/d/1IYY_tgx_IHuhSq3AJ5eI5OnqOPBNLWSHKh2a30DoXe8/edit?usp=sharing"",""กระบี่!J286"")"),0)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IFERROR(__xludf.DUMMYFUNCTION("IMPORTRANGE(""https://docs.google.com/spreadsheets/d/1IYY_tgx_IHuhSq3AJ5eI5OnqOPBNLWSHKh2a30DoXe8/edit?usp=sharing"",""กระบี่!J287"")"),1)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IFERROR(__xludf.DUMMYFUNCTION("IMPORTRANGE(""https://docs.google.com/spreadsheets/d/1IYY_tgx_IHuhSq3AJ5eI5OnqOPBNLWSHKh2a30DoXe8/edit?usp=sharing"",""กระบี่!J288"")"),1)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IFERROR(__xludf.DUMMYFUNCTION("IMPORTRANGE(""https://docs.google.com/spreadsheets/d/1IYY_tgx_IHuhSq3AJ5eI5OnqOPBNLWSHKh2a30DoXe8/edit?usp=sharing"",""กระบี่!J289"")"),1)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IFERROR(__xludf.DUMMYFUNCTION("IMPORTRANGE(""https://docs.google.com/spreadsheets/d/1IYY_tgx_IHuhSq3AJ5eI5OnqOPBNLWSHKh2a30DoXe8/edit?usp=sharing"",""กระบี่!I291"")"),30)</f>
        <v>30</v>
      </c>
      <c r="J396" s="204">
        <f ca="1">IFERROR(__xludf.DUMMYFUNCTION("IMPORTRANGE(""https://docs.google.com/spreadsheets/d/1IYY_tgx_IHuhSq3AJ5eI5OnqOPBNLWSHKh2a30DoXe8/edit?usp=sharing"",""กระบี่!J291"")"),30)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IFERROR(__xludf.DUMMYFUNCTION("IMPORTRANGE(""https://docs.google.com/spreadsheets/d/1IYY_tgx_IHuhSq3AJ5eI5OnqOPBNLWSHKh2a30DoXe8/edit?usp=sharing"",""กระบี่!I292"")"),300)</f>
        <v>300</v>
      </c>
      <c r="J397" s="204">
        <f ca="1">IFERROR(__xludf.DUMMYFUNCTION("IMPORTRANGE(""https://docs.google.com/spreadsheets/d/1IYY_tgx_IHuhSq3AJ5eI5OnqOPBNLWSHKh2a30DoXe8/edit?usp=sharing"",""กระบี่!J292"")"),0)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IFERROR(__xludf.DUMMYFUNCTION("IMPORTRANGE(""https://docs.google.com/spreadsheets/d/1IYY_tgx_IHuhSq3AJ5eI5OnqOPBNLWSHKh2a30DoXe8/edit?usp=sharing"",""กระบี่!I293"")"),30)</f>
        <v>30</v>
      </c>
      <c r="J398" s="204">
        <f ca="1">IFERROR(__xludf.DUMMYFUNCTION("IMPORTRANGE(""https://docs.google.com/spreadsheets/d/1IYY_tgx_IHuhSq3AJ5eI5OnqOPBNLWSHKh2a30DoXe8/edit?usp=sharing"",""กระบี่!J293"")"),0)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IFERROR(__xludf.DUMMYFUNCTION("IMPORTRANGE(""https://docs.google.com/spreadsheets/d/1IYY_tgx_IHuhSq3AJ5eI5OnqOPBNLWSHKh2a30DoXe8/edit?usp=sharing"",""กระบี่!J294"")"),0)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IFERROR(__xludf.DUMMYFUNCTION("IMPORTRANGE(""https://docs.google.com/spreadsheets/d/1IYY_tgx_IHuhSq3AJ5eI5OnqOPBNLWSHKh2a30DoXe8/edit?usp=sharing"",""กระบี่!J295"")"),0)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IFERROR(__xludf.DUMMYFUNCTION("IMPORTRANGE(""https://docs.google.com/spreadsheets/d/1IYY_tgx_IHuhSq3AJ5eI5OnqOPBNLWSHKh2a30DoXe8/edit?usp=sharing"",""กระบี่!I296"")"),105)</f>
        <v>105</v>
      </c>
      <c r="J401" s="377">
        <f ca="1">IFERROR(__xludf.DUMMYFUNCTION("IMPORTRANGE(""https://docs.google.com/spreadsheets/d/1IYY_tgx_IHuhSq3AJ5eI5OnqOPBNLWSHKh2a30DoXe8/edit?usp=sharing"",""กระบี่!J296"")"),0)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IFERROR(__xludf.DUMMYFUNCTION("IMPORTRANGE(""https://docs.google.com/spreadsheets/d/1IYY_tgx_IHuhSq3AJ5eI5OnqOPBNLWSHKh2a30DoXe8/edit?usp=sharing"",""กระบี่!L296"")"),131710)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IFERROR(__xludf.DUMMYFUNCTION("IMPORTRANGE(""https://docs.google.com/spreadsheets/d/1IYY_tgx_IHuhSq3AJ5eI5OnqOPBNLWSHKh2a30DoXe8/edit?usp=sharing"",""กระบี่!M296"")"),64534)</f>
        <v>64534</v>
      </c>
      <c r="O401" s="379">
        <f ca="1">+IF(L401&gt;0,N401*100/L401,0)</f>
        <v>48.997038949206591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IFERROR(__xludf.DUMMYFUNCTION("IMPORTRANGE(""https://docs.google.com/spreadsheets/d/1IYY_tgx_IHuhSq3AJ5eI5OnqOPBNLWSHKh2a30DoXe8/edit?usp=sharing"",""กระบี่!I297"")"),35)</f>
        <v>35</v>
      </c>
      <c r="J402" s="377">
        <f ca="1">IFERROR(__xludf.DUMMYFUNCTION("IMPORTRANGE(""https://docs.google.com/spreadsheets/d/1IYY_tgx_IHuhSq3AJ5eI5OnqOPBNLWSHKh2a30DoXe8/edit?usp=sharing"",""กระบี่!J297"")"),35)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IFERROR(__xludf.DUMMYFUNCTION("IMPORTRANGE(""https://docs.google.com/spreadsheets/d/1IYY_tgx_IHuhSq3AJ5eI5OnqOPBNLWSHKh2a30DoXe8/edit?usp=sharing"",""กระบี่!L298"")"),0)</f>
        <v>0</v>
      </c>
      <c r="M403" s="168"/>
      <c r="N403" s="175">
        <f ca="1">IFERROR(__xludf.DUMMYFUNCTION("IMPORTRANGE(""https://docs.google.com/spreadsheets/d/1IYY_tgx_IHuhSq3AJ5eI5OnqOPBNLWSHKh2a30DoXe8/edit?usp=sharing"",""กระบี่!M298"")"),0)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IFERROR(__xludf.DUMMYFUNCTION("IMPORTRANGE(""https://docs.google.com/spreadsheets/d/1IYY_tgx_IHuhSq3AJ5eI5OnqOPBNLWSHKh2a30DoXe8/edit?usp=sharing"",""กระบี่!L299"")"),131710)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IFERROR(__xludf.DUMMYFUNCTION("IMPORTRANGE(""https://docs.google.com/spreadsheets/d/1IYY_tgx_IHuhSq3AJ5eI5OnqOPBNLWSHKh2a30DoXe8/edit?usp=sharing"",""กระบี่!M299"")"),64534)</f>
        <v>64534</v>
      </c>
      <c r="O404" s="175">
        <f t="shared" ca="1" si="112"/>
        <v>48.997038949206591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IFERROR(__xludf.DUMMYFUNCTION("IMPORTRANGE(""https://docs.google.com/spreadsheets/d/1IYY_tgx_IHuhSq3AJ5eI5OnqOPBNLWSHKh2a30DoXe8/edit?usp=sharing"",""กระบี่!L300"")"),0)</f>
        <v>0</v>
      </c>
      <c r="M405" s="175"/>
      <c r="N405" s="175">
        <f ca="1">IFERROR(__xludf.DUMMYFUNCTION("IMPORTRANGE(""https://docs.google.com/spreadsheets/d/1IYY_tgx_IHuhSq3AJ5eI5OnqOPBNLWSHKh2a30DoXe8/edit?usp=sharing"",""กระบี่!M300"")"),0)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IFERROR(__xludf.DUMMYFUNCTION("IMPORTRANGE(""https://docs.google.com/spreadsheets/d/1IYY_tgx_IHuhSq3AJ5eI5OnqOPBNLWSHKh2a30DoXe8/edit?usp=sharing"",""กระบี่!L301"")"),131710)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IFERROR(__xludf.DUMMYFUNCTION("IMPORTRANGE(""https://docs.google.com/spreadsheets/d/1IYY_tgx_IHuhSq3AJ5eI5OnqOPBNLWSHKh2a30DoXe8/edit?usp=sharing"",""กระบี่!M301"")"),64534)</f>
        <v>64534</v>
      </c>
      <c r="O406" s="175">
        <f t="shared" ca="1" si="112"/>
        <v>48.997038949206591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IFERROR(__xludf.DUMMYFUNCTION("IMPORTRANGE(""https://docs.google.com/spreadsheets/d/1IYY_tgx_IHuhSq3AJ5eI5OnqOPBNLWSHKh2a30DoXe8/edit?usp=sharing"",""กระบี่!M302"")"),43594)</f>
        <v>43594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IFERROR(__xludf.DUMMYFUNCTION("IMPORTRANGE(""https://docs.google.com/spreadsheets/d/1IYY_tgx_IHuhSq3AJ5eI5OnqOPBNLWSHKh2a30DoXe8/edit?usp=sharing"",""กระบี่!M303"")"),0)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IFERROR(__xludf.DUMMYFUNCTION("IMPORTRANGE(""https://docs.google.com/spreadsheets/d/1IYY_tgx_IHuhSq3AJ5eI5OnqOPBNLWSHKh2a30DoXe8/edit?usp=sharing"",""กระบี่!M304"")"),0)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IFERROR(__xludf.DUMMYFUNCTION("IMPORTRANGE(""https://docs.google.com/spreadsheets/d/1IYY_tgx_IHuhSq3AJ5eI5OnqOPBNLWSHKh2a30DoXe8/edit?usp=sharing"",""กระบี่!M305"")"),20940)</f>
        <v>20940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IFERROR(__xludf.DUMMYFUNCTION("IMPORTRANGE(""https://docs.google.com/spreadsheets/d/1IYY_tgx_IHuhSq3AJ5eI5OnqOPBNLWSHKh2a30DoXe8/edit?usp=sharing"",""กระบี่!J307"")"),0)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IFERROR(__xludf.DUMMYFUNCTION("IMPORTRANGE(""https://docs.google.com/spreadsheets/d/1IYY_tgx_IHuhSq3AJ5eI5OnqOPBNLWSHKh2a30DoXe8/edit?usp=sharing"",""กระบี่!J308"")"),1)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IFERROR(__xludf.DUMMYFUNCTION("IMPORTRANGE(""https://docs.google.com/spreadsheets/d/1IYY_tgx_IHuhSq3AJ5eI5OnqOPBNLWSHKh2a30DoXe8/edit?usp=sharing"",""กระบี่!J309"")"),1)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IFERROR(__xludf.DUMMYFUNCTION("IMPORTRANGE(""https://docs.google.com/spreadsheets/d/1IYY_tgx_IHuhSq3AJ5eI5OnqOPBNLWSHKh2a30DoXe8/edit?usp=sharing"",""กระบี่!J310"")"),1)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IFERROR(__xludf.DUMMYFUNCTION("IMPORTRANGE(""https://docs.google.com/spreadsheets/d/1IYY_tgx_IHuhSq3AJ5eI5OnqOPBNLWSHKh2a30DoXe8/edit?usp=sharing"",""กระบี่!I311"")"),35)</f>
        <v>35</v>
      </c>
      <c r="J416" s="207">
        <f ca="1">IFERROR(__xludf.DUMMYFUNCTION("IMPORTRANGE(""https://docs.google.com/spreadsheets/d/1IYY_tgx_IHuhSq3AJ5eI5OnqOPBNLWSHKh2a30DoXe8/edit?usp=sharing"",""กระบี่!J311"")"),35)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IFERROR(__xludf.DUMMYFUNCTION("IMPORTRANGE(""https://docs.google.com/spreadsheets/d/1IYY_tgx_IHuhSq3AJ5eI5OnqOPBNLWSHKh2a30DoXe8/edit?usp=sharing"",""กระบี่!I312"")"),10)</f>
        <v>10</v>
      </c>
      <c r="J417" s="398">
        <f ca="1">IFERROR(__xludf.DUMMYFUNCTION("IMPORTRANGE(""https://docs.google.com/spreadsheets/d/1IYY_tgx_IHuhSq3AJ5eI5OnqOPBNLWSHKh2a30DoXe8/edit?usp=sharing"",""กระบี่!J312"")"),10)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IFERROR(__xludf.DUMMYFUNCTION("IMPORTRANGE(""https://docs.google.com/spreadsheets/d/1IYY_tgx_IHuhSq3AJ5eI5OnqOPBNLWSHKh2a30DoXe8/edit?usp=sharing"",""กระบี่!I313"")"),30)</f>
        <v>30</v>
      </c>
      <c r="J418" s="399">
        <f ca="1">IFERROR(__xludf.DUMMYFUNCTION("IMPORTRANGE(""https://docs.google.com/spreadsheets/d/1IYY_tgx_IHuhSq3AJ5eI5OnqOPBNLWSHKh2a30DoXe8/edit?usp=sharing"",""กระบี่!J313"")"),0)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IFERROR(__xludf.DUMMYFUNCTION("IMPORTRANGE(""https://docs.google.com/spreadsheets/d/1IYY_tgx_IHuhSq3AJ5eI5OnqOPBNLWSHKh2a30DoXe8/edit?usp=sharing"",""กระบี่!I314"")"),10)</f>
        <v>10</v>
      </c>
      <c r="J419" s="400">
        <f ca="1">IFERROR(__xludf.DUMMYFUNCTION("IMPORTRANGE(""https://docs.google.com/spreadsheets/d/1IYY_tgx_IHuhSq3AJ5eI5OnqOPBNLWSHKh2a30DoXe8/edit?usp=sharing"",""กระบี่!J314"")"),10)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IFERROR(__xludf.DUMMYFUNCTION("IMPORTRANGE(""https://docs.google.com/spreadsheets/d/1IYY_tgx_IHuhSq3AJ5eI5OnqOPBNLWSHKh2a30DoXe8/edit?usp=sharing"",""กระบี่!I315"")"),10)</f>
        <v>10</v>
      </c>
      <c r="J420" s="400">
        <f ca="1">IFERROR(__xludf.DUMMYFUNCTION("IMPORTRANGE(""https://docs.google.com/spreadsheets/d/1IYY_tgx_IHuhSq3AJ5eI5OnqOPBNLWSHKh2a30DoXe8/edit?usp=sharing"",""กระบี่!J315"")"),10)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IFERROR(__xludf.DUMMYFUNCTION("IMPORTRANGE(""https://docs.google.com/spreadsheets/d/1IYY_tgx_IHuhSq3AJ5eI5OnqOPBNLWSHKh2a30DoXe8/edit?usp=sharing"",""กระบี่!I316"")"),15)</f>
        <v>15</v>
      </c>
      <c r="J421" s="398">
        <f ca="1">IFERROR(__xludf.DUMMYFUNCTION("IMPORTRANGE(""https://docs.google.com/spreadsheets/d/1IYY_tgx_IHuhSq3AJ5eI5OnqOPBNLWSHKh2a30DoXe8/edit?usp=sharing"",""กระบี่!J316"")"),15)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IFERROR(__xludf.DUMMYFUNCTION("IMPORTRANGE(""https://docs.google.com/spreadsheets/d/1IYY_tgx_IHuhSq3AJ5eI5OnqOPBNLWSHKh2a30DoXe8/edit?usp=sharing"",""กระบี่!I317"")"),45)</f>
        <v>45</v>
      </c>
      <c r="J422" s="399">
        <f ca="1">IFERROR(__xludf.DUMMYFUNCTION("IMPORTRANGE(""https://docs.google.com/spreadsheets/d/1IYY_tgx_IHuhSq3AJ5eI5OnqOPBNLWSHKh2a30DoXe8/edit?usp=sharing"",""กระบี่!J317"")"),0)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IFERROR(__xludf.DUMMYFUNCTION("IMPORTRANGE(""https://docs.google.com/spreadsheets/d/1IYY_tgx_IHuhSq3AJ5eI5OnqOPBNLWSHKh2a30DoXe8/edit?usp=sharing"",""กระบี่!I318"")"),15)</f>
        <v>15</v>
      </c>
      <c r="J423" s="400">
        <f ca="1">IFERROR(__xludf.DUMMYFUNCTION("IMPORTRANGE(""https://docs.google.com/spreadsheets/d/1IYY_tgx_IHuhSq3AJ5eI5OnqOPBNLWSHKh2a30DoXe8/edit?usp=sharing"",""กระบี่!J318"")"),15)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IFERROR(__xludf.DUMMYFUNCTION("IMPORTRANGE(""https://docs.google.com/spreadsheets/d/1IYY_tgx_IHuhSq3AJ5eI5OnqOPBNLWSHKh2a30DoXe8/edit?usp=sharing"",""กระบี่!I319"")"),15)</f>
        <v>15</v>
      </c>
      <c r="J424" s="400">
        <f ca="1">IFERROR(__xludf.DUMMYFUNCTION("IMPORTRANGE(""https://docs.google.com/spreadsheets/d/1IYY_tgx_IHuhSq3AJ5eI5OnqOPBNLWSHKh2a30DoXe8/edit?usp=sharing"",""กระบี่!J319"")"),15)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IFERROR(__xludf.DUMMYFUNCTION("IMPORTRANGE(""https://docs.google.com/spreadsheets/d/1IYY_tgx_IHuhSq3AJ5eI5OnqOPBNLWSHKh2a30DoXe8/edit?usp=sharing"",""กระบี่!I320"")"),15)</f>
        <v>15</v>
      </c>
      <c r="J425" s="400">
        <f ca="1">IFERROR(__xludf.DUMMYFUNCTION("IMPORTRANGE(""https://docs.google.com/spreadsheets/d/1IYY_tgx_IHuhSq3AJ5eI5OnqOPBNLWSHKh2a30DoXe8/edit?usp=sharing"",""กระบี่!J320"")"),15)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IFERROR(__xludf.DUMMYFUNCTION("IMPORTRANGE(""https://docs.google.com/spreadsheets/d/1IYY_tgx_IHuhSq3AJ5eI5OnqOPBNLWSHKh2a30DoXe8/edit?usp=sharing"",""กระบี่!I321"")"),10)</f>
        <v>10</v>
      </c>
      <c r="J426" s="398">
        <f ca="1">IFERROR(__xludf.DUMMYFUNCTION("IMPORTRANGE(""https://docs.google.com/spreadsheets/d/1IYY_tgx_IHuhSq3AJ5eI5OnqOPBNLWSHKh2a30DoXe8/edit?usp=sharing"",""กระบี่!J321"")"),10)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IFERROR(__xludf.DUMMYFUNCTION("IMPORTRANGE(""https://docs.google.com/spreadsheets/d/1IYY_tgx_IHuhSq3AJ5eI5OnqOPBNLWSHKh2a30DoXe8/edit?usp=sharing"",""กระบี่!I322"")"),30)</f>
        <v>30</v>
      </c>
      <c r="J427" s="399">
        <f ca="1">IFERROR(__xludf.DUMMYFUNCTION("IMPORTRANGE(""https://docs.google.com/spreadsheets/d/1IYY_tgx_IHuhSq3AJ5eI5OnqOPBNLWSHKh2a30DoXe8/edit?usp=sharing"",""กระบี่!J322"")"),0)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IFERROR(__xludf.DUMMYFUNCTION("IMPORTRANGE(""https://docs.google.com/spreadsheets/d/1IYY_tgx_IHuhSq3AJ5eI5OnqOPBNLWSHKh2a30DoXe8/edit?usp=sharing"",""กระบี่!I323"")"),10)</f>
        <v>10</v>
      </c>
      <c r="J428" s="400">
        <f ca="1">IFERROR(__xludf.DUMMYFUNCTION("IMPORTRANGE(""https://docs.google.com/spreadsheets/d/1IYY_tgx_IHuhSq3AJ5eI5OnqOPBNLWSHKh2a30DoXe8/edit?usp=sharing"",""กระบี่!J323"")"),10)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IFERROR(__xludf.DUMMYFUNCTION("IMPORTRANGE(""https://docs.google.com/spreadsheets/d/1IYY_tgx_IHuhSq3AJ5eI5OnqOPBNLWSHKh2a30DoXe8/edit?usp=sharing"",""กระบี่!I324"")"),10)</f>
        <v>10</v>
      </c>
      <c r="J429" s="400">
        <f ca="1">IFERROR(__xludf.DUMMYFUNCTION("IMPORTRANGE(""https://docs.google.com/spreadsheets/d/1IYY_tgx_IHuhSq3AJ5eI5OnqOPBNLWSHKh2a30DoXe8/edit?usp=sharing"",""กระบี่!J324"")"),10)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IFERROR(__xludf.DUMMYFUNCTION("IMPORTRANGE(""https://docs.google.com/spreadsheets/d/1IYY_tgx_IHuhSq3AJ5eI5OnqOPBNLWSHKh2a30DoXe8/edit?usp=sharing"",""กระบี่!I325"")"),25)</f>
        <v>25</v>
      </c>
      <c r="J430" s="398">
        <f ca="1">IFERROR(__xludf.DUMMYFUNCTION("IMPORTRANGE(""https://docs.google.com/spreadsheets/d/1IYY_tgx_IHuhSq3AJ5eI5OnqOPBNLWSHKh2a30DoXe8/edit?usp=sharing"",""กระบี่!J325"")"),0)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IFERROR(__xludf.DUMMYFUNCTION("IMPORTRANGE(""https://docs.google.com/spreadsheets/d/1IYY_tgx_IHuhSq3AJ5eI5OnqOPBNLWSHKh2a30DoXe8/edit?usp=sharing"",""กระบี่!I326"")"),10)</f>
        <v>10</v>
      </c>
      <c r="J431" s="400">
        <f ca="1">IFERROR(__xludf.DUMMYFUNCTION("IMPORTRANGE(""https://docs.google.com/spreadsheets/d/1IYY_tgx_IHuhSq3AJ5eI5OnqOPBNLWSHKh2a30DoXe8/edit?usp=sharing"",""กระบี่!J326"")"),0)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IFERROR(__xludf.DUMMYFUNCTION("IMPORTRANGE(""https://docs.google.com/spreadsheets/d/1IYY_tgx_IHuhSq3AJ5eI5OnqOPBNLWSHKh2a30DoXe8/edit?usp=sharing"",""กระบี่!I327"")"),15)</f>
        <v>15</v>
      </c>
      <c r="J432" s="400">
        <f ca="1">IFERROR(__xludf.DUMMYFUNCTION("IMPORTRANGE(""https://docs.google.com/spreadsheets/d/1IYY_tgx_IHuhSq3AJ5eI5OnqOPBNLWSHKh2a30DoXe8/edit?usp=sharing"",""กระบี่!J327"")"),0)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IFERROR(__xludf.DUMMYFUNCTION("IMPORTRANGE(""https://docs.google.com/spreadsheets/d/1IYY_tgx_IHuhSq3AJ5eI5OnqOPBNLWSHKh2a30DoXe8/edit?usp=sharing"",""กระบี่!J328"")"),0)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IFERROR(__xludf.DUMMYFUNCTION("IMPORTRANGE(""https://docs.google.com/spreadsheets/d/1IYY_tgx_IHuhSq3AJ5eI5OnqOPBNLWSHKh2a30DoXe8/edit?usp=sharing"",""กระบี่!J329"")"),0)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IFERROR(__xludf.DUMMYFUNCTION("IMPORTRANGE(""https://docs.google.com/spreadsheets/d/1IYY_tgx_IHuhSq3AJ5eI5OnqOPBNLWSHKh2a30DoXe8/edit?usp=sharing"",""กระบี่!I330"")"),10)</f>
        <v>10</v>
      </c>
      <c r="J435" s="416">
        <f ca="1">IFERROR(__xludf.DUMMYFUNCTION("IMPORTRANGE(""https://docs.google.com/spreadsheets/d/1IYY_tgx_IHuhSq3AJ5eI5OnqOPBNLWSHKh2a30DoXe8/edit?usp=sharing"",""กระบี่!J330"")"),10)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IFERROR(__xludf.DUMMYFUNCTION("IMPORTRANGE(""https://docs.google.com/spreadsheets/d/1IYY_tgx_IHuhSq3AJ5eI5OnqOPBNLWSHKh2a30DoXe8/edit?usp=sharing"",""กระบี่!L330"")"),76000)</f>
        <v>76000</v>
      </c>
      <c r="M435" s="418"/>
      <c r="N435" s="418">
        <f ca="1">IFERROR(__xludf.DUMMYFUNCTION("IMPORTRANGE(""https://docs.google.com/spreadsheets/d/1IYY_tgx_IHuhSq3AJ5eI5OnqOPBNLWSHKh2a30DoXe8/edit?usp=sharing"",""กระบี่!M330"")"),45304)</f>
        <v>45304</v>
      </c>
      <c r="O435" s="418">
        <f t="shared" ref="O435:O439" ca="1" si="114">+IF(L435&gt;0,N435*100/L435,0)</f>
        <v>59.610526315789471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IFERROR(__xludf.DUMMYFUNCTION("IMPORTRANGE(""https://docs.google.com/spreadsheets/d/1IYY_tgx_IHuhSq3AJ5eI5OnqOPBNLWSHKh2a30DoXe8/edit?usp=sharing"",""กระบี่!L331"")"),0)</f>
        <v>0</v>
      </c>
      <c r="M436" s="168"/>
      <c r="N436" s="175">
        <f ca="1">IFERROR(__xludf.DUMMYFUNCTION("IMPORTRANGE(""https://docs.google.com/spreadsheets/d/1IYY_tgx_IHuhSq3AJ5eI5OnqOPBNLWSHKh2a30DoXe8/edit?usp=sharing"",""กระบี่!M331"")"),0)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IFERROR(__xludf.DUMMYFUNCTION("IMPORTRANGE(""https://docs.google.com/spreadsheets/d/1IYY_tgx_IHuhSq3AJ5eI5OnqOPBNLWSHKh2a30DoXe8/edit?usp=sharing"",""กระบี่!L332"")"),76000)</f>
        <v>76000</v>
      </c>
      <c r="M437" s="169"/>
      <c r="N437" s="175">
        <f ca="1">IFERROR(__xludf.DUMMYFUNCTION("IMPORTRANGE(""https://docs.google.com/spreadsheets/d/1IYY_tgx_IHuhSq3AJ5eI5OnqOPBNLWSHKh2a30DoXe8/edit?usp=sharing"",""กระบี่!M332"")"),45304)</f>
        <v>45304</v>
      </c>
      <c r="O437" s="175">
        <f t="shared" ca="1" si="114"/>
        <v>59.610526315789471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IFERROR(__xludf.DUMMYFUNCTION("IMPORTRANGE(""https://docs.google.com/spreadsheets/d/1IYY_tgx_IHuhSq3AJ5eI5OnqOPBNLWSHKh2a30DoXe8/edit?usp=sharing"",""กระบี่!L333"")"),0)</f>
        <v>0</v>
      </c>
      <c r="M438" s="175"/>
      <c r="N438" s="175">
        <f ca="1">IFERROR(__xludf.DUMMYFUNCTION("IMPORTRANGE(""https://docs.google.com/spreadsheets/d/1IYY_tgx_IHuhSq3AJ5eI5OnqOPBNLWSHKh2a30DoXe8/edit?usp=sharing"",""กระบี่!M333"")"),0)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IFERROR(__xludf.DUMMYFUNCTION("IMPORTRANGE(""https://docs.google.com/spreadsheets/d/1IYY_tgx_IHuhSq3AJ5eI5OnqOPBNLWSHKh2a30DoXe8/edit?usp=sharing"",""กระบี่!L334"")"),76000)</f>
        <v>76000</v>
      </c>
      <c r="M439" s="175"/>
      <c r="N439" s="175">
        <f ca="1">IFERROR(__xludf.DUMMYFUNCTION("IMPORTRANGE(""https://docs.google.com/spreadsheets/d/1IYY_tgx_IHuhSq3AJ5eI5OnqOPBNLWSHKh2a30DoXe8/edit?usp=sharing"",""กระบี่!M334"")"),45304)</f>
        <v>45304</v>
      </c>
      <c r="O439" s="175">
        <f t="shared" ca="1" si="114"/>
        <v>59.610526315789471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IFERROR(__xludf.DUMMYFUNCTION("IMPORTRANGE(""https://docs.google.com/spreadsheets/d/1IYY_tgx_IHuhSq3AJ5eI5OnqOPBNLWSHKh2a30DoXe8/edit?usp=sharing"",""กระบี่!M335"")"),32960)</f>
        <v>32960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IFERROR(__xludf.DUMMYFUNCTION("IMPORTRANGE(""https://docs.google.com/spreadsheets/d/1IYY_tgx_IHuhSq3AJ5eI5OnqOPBNLWSHKh2a30DoXe8/edit?usp=sharing"",""กระบี่!M336"")"),0)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IFERROR(__xludf.DUMMYFUNCTION("IMPORTRANGE(""https://docs.google.com/spreadsheets/d/1IYY_tgx_IHuhSq3AJ5eI5OnqOPBNLWSHKh2a30DoXe8/edit?usp=sharing"",""กระบี่!M337"")"),0)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IFERROR(__xludf.DUMMYFUNCTION("IMPORTRANGE(""https://docs.google.com/spreadsheets/d/1IYY_tgx_IHuhSq3AJ5eI5OnqOPBNLWSHKh2a30DoXe8/edit?usp=sharing"",""กระบี่!M338"")"),12344)</f>
        <v>12344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IFERROR(__xludf.DUMMYFUNCTION("IMPORTRANGE(""https://docs.google.com/spreadsheets/d/1IYY_tgx_IHuhSq3AJ5eI5OnqOPBNLWSHKh2a30DoXe8/edit?usp=sharing"",""กระบี่!J340"")"),0)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IFERROR(__xludf.DUMMYFUNCTION("IMPORTRANGE(""https://docs.google.com/spreadsheets/d/1IYY_tgx_IHuhSq3AJ5eI5OnqOPBNLWSHKh2a30DoXe8/edit?usp=sharing"",""กระบี่!J341"")"),1)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IFERROR(__xludf.DUMMYFUNCTION("IMPORTRANGE(""https://docs.google.com/spreadsheets/d/1IYY_tgx_IHuhSq3AJ5eI5OnqOPBNLWSHKh2a30DoXe8/edit?usp=sharing"",""กระบี่!J342"")"),1)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IFERROR(__xludf.DUMMYFUNCTION("IMPORTRANGE(""https://docs.google.com/spreadsheets/d/1IYY_tgx_IHuhSq3AJ5eI5OnqOPBNLWSHKh2a30DoXe8/edit?usp=sharing"",""กระบี่!J343"")"),1)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IFERROR(__xludf.DUMMYFUNCTION("IMPORTRANGE(""https://docs.google.com/spreadsheets/d/1IYY_tgx_IHuhSq3AJ5eI5OnqOPBNLWSHKh2a30DoXe8/edit?usp=sharing"",""กระบี่!I344"")"),10)</f>
        <v>10</v>
      </c>
      <c r="J449" s="207">
        <f ca="1">IFERROR(__xludf.DUMMYFUNCTION("IMPORTRANGE(""https://docs.google.com/spreadsheets/d/1IYY_tgx_IHuhSq3AJ5eI5OnqOPBNLWSHKh2a30DoXe8/edit?usp=sharing"",""กระบี่!J344"")"),10)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IFERROR(__xludf.DUMMYFUNCTION("IMPORTRANGE(""https://docs.google.com/spreadsheets/d/1IYY_tgx_IHuhSq3AJ5eI5OnqOPBNLWSHKh2a30DoXe8/edit?usp=sharing"",""กระบี่!I345"")"),10)</f>
        <v>10</v>
      </c>
      <c r="J450" s="195">
        <f ca="1">IFERROR(__xludf.DUMMYFUNCTION("IMPORTRANGE(""https://docs.google.com/spreadsheets/d/1IYY_tgx_IHuhSq3AJ5eI5OnqOPBNLWSHKh2a30DoXe8/edit?usp=sharing"",""กระบี่!J345"")"),10)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IFERROR(__xludf.DUMMYFUNCTION("IMPORTRANGE(""https://docs.google.com/spreadsheets/d/1IYY_tgx_IHuhSq3AJ5eI5OnqOPBNLWSHKh2a30DoXe8/edit?usp=sharing"",""กระบี่!I346"")"),0)</f>
        <v>0</v>
      </c>
      <c r="J451" s="194">
        <f ca="1">IFERROR(__xludf.DUMMYFUNCTION("IMPORTRANGE(""https://docs.google.com/spreadsheets/d/1IYY_tgx_IHuhSq3AJ5eI5OnqOPBNLWSHKh2a30DoXe8/edit?usp=sharing"",""กระบี่!J346"")"),0)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IFERROR(__xludf.DUMMYFUNCTION("IMPORTRANGE(""https://docs.google.com/spreadsheets/d/1IYY_tgx_IHuhSq3AJ5eI5OnqOPBNLWSHKh2a30DoXe8/edit?usp=sharing"",""กระบี่!I347"")"),0)</f>
        <v>0</v>
      </c>
      <c r="J452" s="194">
        <f ca="1">IFERROR(__xludf.DUMMYFUNCTION("IMPORTRANGE(""https://docs.google.com/spreadsheets/d/1IYY_tgx_IHuhSq3AJ5eI5OnqOPBNLWSHKh2a30DoXe8/edit?usp=sharing"",""กระบี่!J347"")"),0)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IFERROR(__xludf.DUMMYFUNCTION("IMPORTRANGE(""https://docs.google.com/spreadsheets/d/1IYY_tgx_IHuhSq3AJ5eI5OnqOPBNLWSHKh2a30DoXe8/edit?usp=sharing"",""กระบี่!J348"")"),0)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IFERROR(__xludf.DUMMYFUNCTION("IMPORTRANGE(""https://docs.google.com/spreadsheets/d/1IYY_tgx_IHuhSq3AJ5eI5OnqOPBNLWSHKh2a30DoXe8/edit?usp=sharing"",""กระบี่!J349"")"),0)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IFERROR(__xludf.DUMMYFUNCTION("IMPORTRANGE(""https://docs.google.com/spreadsheets/d/1IYY_tgx_IHuhSq3AJ5eI5OnqOPBNLWSHKh2a30DoXe8/edit?usp=sharing"",""กระบี่!I350"")"),66369)</f>
        <v>66369</v>
      </c>
      <c r="J455" s="377">
        <f ca="1">IFERROR(__xludf.DUMMYFUNCTION("IMPORTRANGE(""https://docs.google.com/spreadsheets/d/1IYY_tgx_IHuhSq3AJ5eI5OnqOPBNLWSHKh2a30DoXe8/edit?usp=sharing"",""กระบี่!J350"")"),61026)</f>
        <v>61026</v>
      </c>
      <c r="K455" s="378">
        <f ca="1">IF(I455&gt;0,J455*100/I455,0)</f>
        <v>91.949554762012383</v>
      </c>
      <c r="L455" s="379">
        <f ca="1">IFERROR(__xludf.DUMMYFUNCTION("IMPORTRANGE(""https://docs.google.com/spreadsheets/d/1IYY_tgx_IHuhSq3AJ5eI5OnqOPBNLWSHKh2a30DoXe8/edit?usp=sharing"",""กระบี่!L350"")"),535782.8)</f>
        <v>535782.80000000005</v>
      </c>
      <c r="M455" s="379"/>
      <c r="N455" s="379">
        <f ca="1">IFERROR(__xludf.DUMMYFUNCTION("IMPORTRANGE(""https://docs.google.com/spreadsheets/d/1IYY_tgx_IHuhSq3AJ5eI5OnqOPBNLWSHKh2a30DoXe8/edit?usp=sharing"",""กระบี่!M350"")"),142869.36)</f>
        <v>142869.35999999999</v>
      </c>
      <c r="O455" s="379">
        <f t="shared" ref="O455:O459" ca="1" si="116">+IF(L455&gt;0,N455*100/L455,0)</f>
        <v>26.665536855606408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IFERROR(__xludf.DUMMYFUNCTION("IMPORTRANGE(""https://docs.google.com/spreadsheets/d/1IYY_tgx_IHuhSq3AJ5eI5OnqOPBNLWSHKh2a30DoXe8/edit?usp=sharing"",""กระบี่!L351"")"),0)</f>
        <v>0</v>
      </c>
      <c r="M456" s="168"/>
      <c r="N456" s="175">
        <f ca="1">IFERROR(__xludf.DUMMYFUNCTION("IMPORTRANGE(""https://docs.google.com/spreadsheets/d/1IYY_tgx_IHuhSq3AJ5eI5OnqOPBNLWSHKh2a30DoXe8/edit?usp=sharing"",""กระบี่!M351"")"),0)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IFERROR(__xludf.DUMMYFUNCTION("IMPORTRANGE(""https://docs.google.com/spreadsheets/d/1IYY_tgx_IHuhSq3AJ5eI5OnqOPBNLWSHKh2a30DoXe8/edit?usp=sharing"",""กระบี่!L352"")"),535782.8)</f>
        <v>535782.80000000005</v>
      </c>
      <c r="M457" s="169"/>
      <c r="N457" s="175">
        <f ca="1">IFERROR(__xludf.DUMMYFUNCTION("IMPORTRANGE(""https://docs.google.com/spreadsheets/d/1IYY_tgx_IHuhSq3AJ5eI5OnqOPBNLWSHKh2a30DoXe8/edit?usp=sharing"",""กระบี่!M352"")"),142869.36)</f>
        <v>142869.35999999999</v>
      </c>
      <c r="O457" s="175">
        <f t="shared" ca="1" si="116"/>
        <v>26.665536855606408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IFERROR(__xludf.DUMMYFUNCTION("IMPORTRANGE(""https://docs.google.com/spreadsheets/d/1IYY_tgx_IHuhSq3AJ5eI5OnqOPBNLWSHKh2a30DoXe8/edit?usp=sharing"",""กระบี่!L353"")"),0)</f>
        <v>0</v>
      </c>
      <c r="M458" s="175"/>
      <c r="N458" s="175">
        <f ca="1">IFERROR(__xludf.DUMMYFUNCTION("IMPORTRANGE(""https://docs.google.com/spreadsheets/d/1IYY_tgx_IHuhSq3AJ5eI5OnqOPBNLWSHKh2a30DoXe8/edit?usp=sharing"",""กระบี่!M353"")"),0)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IFERROR(__xludf.DUMMYFUNCTION("IMPORTRANGE(""https://docs.google.com/spreadsheets/d/1IYY_tgx_IHuhSq3AJ5eI5OnqOPBNLWSHKh2a30DoXe8/edit?usp=sharing"",""กระบี่!L354"")"),535782.8)</f>
        <v>535782.80000000005</v>
      </c>
      <c r="M459" s="175"/>
      <c r="N459" s="175">
        <f ca="1">IFERROR(__xludf.DUMMYFUNCTION("IMPORTRANGE(""https://docs.google.com/spreadsheets/d/1IYY_tgx_IHuhSq3AJ5eI5OnqOPBNLWSHKh2a30DoXe8/edit?usp=sharing"",""กระบี่!M354"")"),142869.36)</f>
        <v>142869.35999999999</v>
      </c>
      <c r="O459" s="175">
        <f t="shared" ca="1" si="116"/>
        <v>26.665536855606408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IFERROR(__xludf.DUMMYFUNCTION("IMPORTRANGE(""https://docs.google.com/spreadsheets/d/1IYY_tgx_IHuhSq3AJ5eI5OnqOPBNLWSHKh2a30DoXe8/edit?usp=sharing"",""กระบี่!M355"")"),0)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IFERROR(__xludf.DUMMYFUNCTION("IMPORTRANGE(""https://docs.google.com/spreadsheets/d/1IYY_tgx_IHuhSq3AJ5eI5OnqOPBNLWSHKh2a30DoXe8/edit?usp=sharing"",""กระบี่!M356"")"),0)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IFERROR(__xludf.DUMMYFUNCTION("IMPORTRANGE(""https://docs.google.com/spreadsheets/d/1IYY_tgx_IHuhSq3AJ5eI5OnqOPBNLWSHKh2a30DoXe8/edit?usp=sharing"",""กระบี่!M357"")"),48967.76)</f>
        <v>48967.76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IFERROR(__xludf.DUMMYFUNCTION("IMPORTRANGE(""https://docs.google.com/spreadsheets/d/1IYY_tgx_IHuhSq3AJ5eI5OnqOPBNLWSHKh2a30DoXe8/edit?usp=sharing"",""กระบี่!M358"")"),93901.6)</f>
        <v>93901.6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IFERROR(__xludf.DUMMYFUNCTION("IMPORTRANGE(""https://docs.google.com/spreadsheets/d/1IYY_tgx_IHuhSq3AJ5eI5OnqOPBNLWSHKh2a30DoXe8/edit?usp=sharing"",""กระบี่!I359"")"),66369)</f>
        <v>66369</v>
      </c>
      <c r="J464" s="273">
        <f ca="1">IFERROR(__xludf.DUMMYFUNCTION("IMPORTRANGE(""https://docs.google.com/spreadsheets/d/1IYY_tgx_IHuhSq3AJ5eI5OnqOPBNLWSHKh2a30DoXe8/edit?usp=sharing"",""กระบี่!J359"")"),61026)</f>
        <v>61026</v>
      </c>
      <c r="K464" s="274">
        <f t="shared" ref="K464:K515" ca="1" si="117">IF(I464&gt;0,J464*100/I464,0)</f>
        <v>91.949554762012383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IFERROR(__xludf.DUMMYFUNCTION("IMPORTRANGE(""https://docs.google.com/spreadsheets/d/1IYY_tgx_IHuhSq3AJ5eI5OnqOPBNLWSHKh2a30DoXe8/edit?usp=sharing"",""กระบี่!I360"")"),66369)</f>
        <v>66369</v>
      </c>
      <c r="J465" s="426">
        <f ca="1">IFERROR(__xludf.DUMMYFUNCTION("IMPORTRANGE(""https://docs.google.com/spreadsheets/d/1IYY_tgx_IHuhSq3AJ5eI5OnqOPBNLWSHKh2a30DoXe8/edit?usp=sharing"",""กระบี่!J360"")"),66370)</f>
        <v>66370</v>
      </c>
      <c r="K465" s="208">
        <f t="shared" ca="1" si="117"/>
        <v>100.00150672753846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IFERROR(__xludf.DUMMYFUNCTION("IMPORTRANGE(""https://docs.google.com/spreadsheets/d/1IYY_tgx_IHuhSq3AJ5eI5OnqOPBNLWSHKh2a30DoXe8/edit?usp=sharing"",""กระบี่!I361"")"),4051)</f>
        <v>4051</v>
      </c>
      <c r="J466" s="426">
        <f ca="1">IFERROR(__xludf.DUMMYFUNCTION("IMPORTRANGE(""https://docs.google.com/spreadsheets/d/1IYY_tgx_IHuhSq3AJ5eI5OnqOPBNLWSHKh2a30DoXe8/edit?usp=sharing"",""กระบี่!J361"")"),4051)</f>
        <v>4051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IFERROR(__xludf.DUMMYFUNCTION("IMPORTRANGE(""https://docs.google.com/spreadsheets/d/1IYY_tgx_IHuhSq3AJ5eI5OnqOPBNLWSHKh2a30DoXe8/edit?usp=sharing"",""กระบี่!I362"")"),0)</f>
        <v>0</v>
      </c>
      <c r="J467" s="195">
        <f ca="1">IFERROR(__xludf.DUMMYFUNCTION("IMPORTRANGE(""https://docs.google.com/spreadsheets/d/1IYY_tgx_IHuhSq3AJ5eI5OnqOPBNLWSHKh2a30DoXe8/edit?usp=sharing"",""กระบี่!J362"")"),59840)</f>
        <v>59840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IFERROR(__xludf.DUMMYFUNCTION("IMPORTRANGE(""https://docs.google.com/spreadsheets/d/1IYY_tgx_IHuhSq3AJ5eI5OnqOPBNLWSHKh2a30DoXe8/edit?usp=sharing"",""กระบี่!I363"")"),0)</f>
        <v>0</v>
      </c>
      <c r="J468" s="195">
        <f ca="1">IFERROR(__xludf.DUMMYFUNCTION("IMPORTRANGE(""https://docs.google.com/spreadsheets/d/1IYY_tgx_IHuhSq3AJ5eI5OnqOPBNLWSHKh2a30DoXe8/edit?usp=sharing"",""กระบี่!J363"")"),3657)</f>
        <v>3657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IFERROR(__xludf.DUMMYFUNCTION("IMPORTRANGE(""https://docs.google.com/spreadsheets/d/1IYY_tgx_IHuhSq3AJ5eI5OnqOPBNLWSHKh2a30DoXe8/edit?usp=sharing"",""กระบี่!I364"")"),0)</f>
        <v>0</v>
      </c>
      <c r="J469" s="195">
        <f ca="1">IFERROR(__xludf.DUMMYFUNCTION("IMPORTRANGE(""https://docs.google.com/spreadsheets/d/1IYY_tgx_IHuhSq3AJ5eI5OnqOPBNLWSHKh2a30DoXe8/edit?usp=sharing"",""กระบี่!J364"")"),6036)</f>
        <v>6036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IFERROR(__xludf.DUMMYFUNCTION("IMPORTRANGE(""https://docs.google.com/spreadsheets/d/1IYY_tgx_IHuhSq3AJ5eI5OnqOPBNLWSHKh2a30DoXe8/edit?usp=sharing"",""กระบี่!I365"")"),0)</f>
        <v>0</v>
      </c>
      <c r="J470" s="195">
        <f ca="1">IFERROR(__xludf.DUMMYFUNCTION("IMPORTRANGE(""https://docs.google.com/spreadsheets/d/1IYY_tgx_IHuhSq3AJ5eI5OnqOPBNLWSHKh2a30DoXe8/edit?usp=sharing"",""กระบี่!J365"")"),361)</f>
        <v>361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IFERROR(__xludf.DUMMYFUNCTION("IMPORTRANGE(""https://docs.google.com/spreadsheets/d/1IYY_tgx_IHuhSq3AJ5eI5OnqOPBNLWSHKh2a30DoXe8/edit?usp=sharing"",""กระบี่!I366"")"),0)</f>
        <v>0</v>
      </c>
      <c r="J471" s="195">
        <f ca="1">IFERROR(__xludf.DUMMYFUNCTION("IMPORTRANGE(""https://docs.google.com/spreadsheets/d/1IYY_tgx_IHuhSq3AJ5eI5OnqOPBNLWSHKh2a30DoXe8/edit?usp=sharing"",""กระบี่!J366"")"),494)</f>
        <v>494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IFERROR(__xludf.DUMMYFUNCTION("IMPORTRANGE(""https://docs.google.com/spreadsheets/d/1IYY_tgx_IHuhSq3AJ5eI5OnqOPBNLWSHKh2a30DoXe8/edit?usp=sharing"",""กระบี่!I367"")"),0)</f>
        <v>0</v>
      </c>
      <c r="J472" s="195">
        <f ca="1">IFERROR(__xludf.DUMMYFUNCTION("IMPORTRANGE(""https://docs.google.com/spreadsheets/d/1IYY_tgx_IHuhSq3AJ5eI5OnqOPBNLWSHKh2a30DoXe8/edit?usp=sharing"",""กระบี่!J367"")"),33)</f>
        <v>33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IFERROR(__xludf.DUMMYFUNCTION("IMPORTRANGE(""https://docs.google.com/spreadsheets/d/1IYY_tgx_IHuhSq3AJ5eI5OnqOPBNLWSHKh2a30DoXe8/edit?usp=sharing"",""กระบี่!I368"")"),66369)</f>
        <v>66369</v>
      </c>
      <c r="J473" s="426">
        <f ca="1">IFERROR(__xludf.DUMMYFUNCTION("IMPORTRANGE(""https://docs.google.com/spreadsheets/d/1IYY_tgx_IHuhSq3AJ5eI5OnqOPBNLWSHKh2a30DoXe8/edit?usp=sharing"",""กระบี่!J368"")"),66369)</f>
        <v>66369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IFERROR(__xludf.DUMMYFUNCTION("IMPORTRANGE(""https://docs.google.com/spreadsheets/d/1IYY_tgx_IHuhSq3AJ5eI5OnqOPBNLWSHKh2a30DoXe8/edit?usp=sharing"",""กระบี่!I369"")"),4051)</f>
        <v>4051</v>
      </c>
      <c r="J474" s="426">
        <f ca="1">IFERROR(__xludf.DUMMYFUNCTION("IMPORTRANGE(""https://docs.google.com/spreadsheets/d/1IYY_tgx_IHuhSq3AJ5eI5OnqOPBNLWSHKh2a30DoXe8/edit?usp=sharing"",""กระบี่!J369"")"),4051)</f>
        <v>4051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IFERROR(__xludf.DUMMYFUNCTION("IMPORTRANGE(""https://docs.google.com/spreadsheets/d/1IYY_tgx_IHuhSq3AJ5eI5OnqOPBNLWSHKh2a30DoXe8/edit?usp=sharing"",""กระบี่!I370"")"),0)</f>
        <v>0</v>
      </c>
      <c r="J475" s="195">
        <f ca="1">IFERROR(__xludf.DUMMYFUNCTION("IMPORTRANGE(""https://docs.google.com/spreadsheets/d/1IYY_tgx_IHuhSq3AJ5eI5OnqOPBNLWSHKh2a30DoXe8/edit?usp=sharing"",""กระบี่!J370"")"),60503)</f>
        <v>60503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IFERROR(__xludf.DUMMYFUNCTION("IMPORTRANGE(""https://docs.google.com/spreadsheets/d/1IYY_tgx_IHuhSq3AJ5eI5OnqOPBNLWSHKh2a30DoXe8/edit?usp=sharing"",""กระบี่!I371"")"),0)</f>
        <v>0</v>
      </c>
      <c r="J476" s="195">
        <f ca="1">IFERROR(__xludf.DUMMYFUNCTION("IMPORTRANGE(""https://docs.google.com/spreadsheets/d/1IYY_tgx_IHuhSq3AJ5eI5OnqOPBNLWSHKh2a30DoXe8/edit?usp=sharing"",""กระบี่!J371"")"),3706)</f>
        <v>3706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IFERROR(__xludf.DUMMYFUNCTION("IMPORTRANGE(""https://docs.google.com/spreadsheets/d/1IYY_tgx_IHuhSq3AJ5eI5OnqOPBNLWSHKh2a30DoXe8/edit?usp=sharing"",""กระบี่!I372"")"),0)</f>
        <v>0</v>
      </c>
      <c r="J477" s="195">
        <f ca="1">IFERROR(__xludf.DUMMYFUNCTION("IMPORTRANGE(""https://docs.google.com/spreadsheets/d/1IYY_tgx_IHuhSq3AJ5eI5OnqOPBNLWSHKh2a30DoXe8/edit?usp=sharing"",""กระบี่!J372"")"),5309)</f>
        <v>5309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IFERROR(__xludf.DUMMYFUNCTION("IMPORTRANGE(""https://docs.google.com/spreadsheets/d/1IYY_tgx_IHuhSq3AJ5eI5OnqOPBNLWSHKh2a30DoXe8/edit?usp=sharing"",""กระบี่!I373"")"),0)</f>
        <v>0</v>
      </c>
      <c r="J478" s="195">
        <f ca="1">IFERROR(__xludf.DUMMYFUNCTION("IMPORTRANGE(""https://docs.google.com/spreadsheets/d/1IYY_tgx_IHuhSq3AJ5eI5OnqOPBNLWSHKh2a30DoXe8/edit?usp=sharing"",""กระบี่!J373"")"),303)</f>
        <v>303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IFERROR(__xludf.DUMMYFUNCTION("IMPORTRANGE(""https://docs.google.com/spreadsheets/d/1IYY_tgx_IHuhSq3AJ5eI5OnqOPBNLWSHKh2a30DoXe8/edit?usp=sharing"",""กระบี่!I374"")"),0)</f>
        <v>0</v>
      </c>
      <c r="J479" s="195">
        <f ca="1">IFERROR(__xludf.DUMMYFUNCTION("IMPORTRANGE(""https://docs.google.com/spreadsheets/d/1IYY_tgx_IHuhSq3AJ5eI5OnqOPBNLWSHKh2a30DoXe8/edit?usp=sharing"",""กระบี่!J374"")"),557)</f>
        <v>557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IFERROR(__xludf.DUMMYFUNCTION("IMPORTRANGE(""https://docs.google.com/spreadsheets/d/1IYY_tgx_IHuhSq3AJ5eI5OnqOPBNLWSHKh2a30DoXe8/edit?usp=sharing"",""กระบี่!I375"")"),0)</f>
        <v>0</v>
      </c>
      <c r="J480" s="195">
        <f ca="1">IFERROR(__xludf.DUMMYFUNCTION("IMPORTRANGE(""https://docs.google.com/spreadsheets/d/1IYY_tgx_IHuhSq3AJ5eI5OnqOPBNLWSHKh2a30DoXe8/edit?usp=sharing"",""กระบี่!J375"")"),42)</f>
        <v>42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IFERROR(__xludf.DUMMYFUNCTION("IMPORTRANGE(""https://docs.google.com/spreadsheets/d/1IYY_tgx_IHuhSq3AJ5eI5OnqOPBNLWSHKh2a30DoXe8/edit?usp=sharing"",""กระบี่!I376"")"),66369)</f>
        <v>66369</v>
      </c>
      <c r="J481" s="426">
        <f ca="1">IFERROR(__xludf.DUMMYFUNCTION("IMPORTRANGE(""https://docs.google.com/spreadsheets/d/1IYY_tgx_IHuhSq3AJ5eI5OnqOPBNLWSHKh2a30DoXe8/edit?usp=sharing"",""กระบี่!J376"")"),61026)</f>
        <v>61026</v>
      </c>
      <c r="K481" s="208">
        <f t="shared" ca="1" si="117"/>
        <v>91.949554762012383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IFERROR(__xludf.DUMMYFUNCTION("IMPORTRANGE(""https://docs.google.com/spreadsheets/d/1IYY_tgx_IHuhSq3AJ5eI5OnqOPBNLWSHKh2a30DoXe8/edit?usp=sharing"",""กระบี่!I377"")"),4051)</f>
        <v>4051</v>
      </c>
      <c r="J482" s="426">
        <f ca="1">IFERROR(__xludf.DUMMYFUNCTION("IMPORTRANGE(""https://docs.google.com/spreadsheets/d/1IYY_tgx_IHuhSq3AJ5eI5OnqOPBNLWSHKh2a30DoXe8/edit?usp=sharing"",""กระบี่!J377"")"),3746)</f>
        <v>3746</v>
      </c>
      <c r="K482" s="208">
        <f t="shared" ca="1" si="117"/>
        <v>92.470994816094787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IFERROR(__xludf.DUMMYFUNCTION("IMPORTRANGE(""https://docs.google.com/spreadsheets/d/1IYY_tgx_IHuhSq3AJ5eI5OnqOPBNLWSHKh2a30DoXe8/edit?usp=sharing"",""กระบี่!I378"")"),0)</f>
        <v>0</v>
      </c>
      <c r="J483" s="195">
        <f ca="1">IFERROR(__xludf.DUMMYFUNCTION("IMPORTRANGE(""https://docs.google.com/spreadsheets/d/1IYY_tgx_IHuhSq3AJ5eI5OnqOPBNLWSHKh2a30DoXe8/edit?usp=sharing"",""กระบี่!J378"")"),60503)</f>
        <v>60503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IFERROR(__xludf.DUMMYFUNCTION("IMPORTRANGE(""https://docs.google.com/spreadsheets/d/1IYY_tgx_IHuhSq3AJ5eI5OnqOPBNLWSHKh2a30DoXe8/edit?usp=sharing"",""กระบี่!I379"")"),0)</f>
        <v>0</v>
      </c>
      <c r="J484" s="195">
        <f ca="1">IFERROR(__xludf.DUMMYFUNCTION("IMPORTRANGE(""https://docs.google.com/spreadsheets/d/1IYY_tgx_IHuhSq3AJ5eI5OnqOPBNLWSHKh2a30DoXe8/edit?usp=sharing"",""กระบี่!J379"")"),3706)</f>
        <v>3706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IFERROR(__xludf.DUMMYFUNCTION("IMPORTRANGE(""https://docs.google.com/spreadsheets/d/1IYY_tgx_IHuhSq3AJ5eI5OnqOPBNLWSHKh2a30DoXe8/edit?usp=sharing"",""กระบี่!I380"")"),0)</f>
        <v>0</v>
      </c>
      <c r="J485" s="195">
        <f ca="1">IFERROR(__xludf.DUMMYFUNCTION("IMPORTRANGE(""https://docs.google.com/spreadsheets/d/1IYY_tgx_IHuhSq3AJ5eI5OnqOPBNLWSHKh2a30DoXe8/edit?usp=sharing"",""กระบี่!J380"")"),0)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IFERROR(__xludf.DUMMYFUNCTION("IMPORTRANGE(""https://docs.google.com/spreadsheets/d/1IYY_tgx_IHuhSq3AJ5eI5OnqOPBNLWSHKh2a30DoXe8/edit?usp=sharing"",""กระบี่!I381"")"),0)</f>
        <v>0</v>
      </c>
      <c r="J486" s="195">
        <f ca="1">IFERROR(__xludf.DUMMYFUNCTION("IMPORTRANGE(""https://docs.google.com/spreadsheets/d/1IYY_tgx_IHuhSq3AJ5eI5OnqOPBNLWSHKh2a30DoXe8/edit?usp=sharing"",""กระบี่!J381"")"),0)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IFERROR(__xludf.DUMMYFUNCTION("IMPORTRANGE(""https://docs.google.com/spreadsheets/d/1IYY_tgx_IHuhSq3AJ5eI5OnqOPBNLWSHKh2a30DoXe8/edit?usp=sharing"",""กระบี่!I382"")"),0)</f>
        <v>0</v>
      </c>
      <c r="J487" s="426">
        <f ca="1">IFERROR(__xludf.DUMMYFUNCTION("IMPORTRANGE(""https://docs.google.com/spreadsheets/d/1IYY_tgx_IHuhSq3AJ5eI5OnqOPBNLWSHKh2a30DoXe8/edit?usp=sharing"",""กระบี่!J382"")"),523)</f>
        <v>523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IFERROR(__xludf.DUMMYFUNCTION("IMPORTRANGE(""https://docs.google.com/spreadsheets/d/1IYY_tgx_IHuhSq3AJ5eI5OnqOPBNLWSHKh2a30DoXe8/edit?usp=sharing"",""กระบี่!I383"")"),0)</f>
        <v>0</v>
      </c>
      <c r="J488" s="426">
        <f ca="1">IFERROR(__xludf.DUMMYFUNCTION("IMPORTRANGE(""https://docs.google.com/spreadsheets/d/1IYY_tgx_IHuhSq3AJ5eI5OnqOPBNLWSHKh2a30DoXe8/edit?usp=sharing"",""กระบี่!J383"")"),40)</f>
        <v>40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IFERROR(__xludf.DUMMYFUNCTION("IMPORTRANGE(""https://docs.google.com/spreadsheets/d/1IYY_tgx_IHuhSq3AJ5eI5OnqOPBNLWSHKh2a30DoXe8/edit?usp=sharing"",""กระบี่!I384"")"),0)</f>
        <v>0</v>
      </c>
      <c r="J489" s="195">
        <f ca="1">IFERROR(__xludf.DUMMYFUNCTION("IMPORTRANGE(""https://docs.google.com/spreadsheets/d/1IYY_tgx_IHuhSq3AJ5eI5OnqOPBNLWSHKh2a30DoXe8/edit?usp=sharing"",""กระบี่!J384"")"),523)</f>
        <v>523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IFERROR(__xludf.DUMMYFUNCTION("IMPORTRANGE(""https://docs.google.com/spreadsheets/d/1IYY_tgx_IHuhSq3AJ5eI5OnqOPBNLWSHKh2a30DoXe8/edit?usp=sharing"",""กระบี่!I385"")"),0)</f>
        <v>0</v>
      </c>
      <c r="J490" s="195">
        <f ca="1">IFERROR(__xludf.DUMMYFUNCTION("IMPORTRANGE(""https://docs.google.com/spreadsheets/d/1IYY_tgx_IHuhSq3AJ5eI5OnqOPBNLWSHKh2a30DoXe8/edit?usp=sharing"",""กระบี่!J385"")"),40)</f>
        <v>40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IFERROR(__xludf.DUMMYFUNCTION("IMPORTRANGE(""https://docs.google.com/spreadsheets/d/1IYY_tgx_IHuhSq3AJ5eI5OnqOPBNLWSHKh2a30DoXe8/edit?usp=sharing"",""กระบี่!I386"")"),0)</f>
        <v>0</v>
      </c>
      <c r="J491" s="195">
        <f ca="1">IFERROR(__xludf.DUMMYFUNCTION("IMPORTRANGE(""https://docs.google.com/spreadsheets/d/1IYY_tgx_IHuhSq3AJ5eI5OnqOPBNLWSHKh2a30DoXe8/edit?usp=sharing"",""กระบี่!J386"")"),0)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IFERROR(__xludf.DUMMYFUNCTION("IMPORTRANGE(""https://docs.google.com/spreadsheets/d/1IYY_tgx_IHuhSq3AJ5eI5OnqOPBNLWSHKh2a30DoXe8/edit?usp=sharing"",""กระบี่!I387"")"),0)</f>
        <v>0</v>
      </c>
      <c r="J492" s="195">
        <f ca="1">IFERROR(__xludf.DUMMYFUNCTION("IMPORTRANGE(""https://docs.google.com/spreadsheets/d/1IYY_tgx_IHuhSq3AJ5eI5OnqOPBNLWSHKh2a30DoXe8/edit?usp=sharing"",""กระบี่!J387"")"),0)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IFERROR(__xludf.DUMMYFUNCTION("IMPORTRANGE(""https://docs.google.com/spreadsheets/d/1IYY_tgx_IHuhSq3AJ5eI5OnqOPBNLWSHKh2a30DoXe8/edit?usp=sharing"",""กระบี่!I388"")"),0)</f>
        <v>0</v>
      </c>
      <c r="J493" s="195">
        <f ca="1">IFERROR(__xludf.DUMMYFUNCTION("IMPORTRANGE(""https://docs.google.com/spreadsheets/d/1IYY_tgx_IHuhSq3AJ5eI5OnqOPBNLWSHKh2a30DoXe8/edit?usp=sharing"",""กระบี่!J388"")"),0)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IFERROR(__xludf.DUMMYFUNCTION("IMPORTRANGE(""https://docs.google.com/spreadsheets/d/1IYY_tgx_IHuhSq3AJ5eI5OnqOPBNLWSHKh2a30DoXe8/edit?usp=sharing"",""กระบี่!I389"")"),0)</f>
        <v>0</v>
      </c>
      <c r="J494" s="442">
        <f ca="1">IFERROR(__xludf.DUMMYFUNCTION("IMPORTRANGE(""https://docs.google.com/spreadsheets/d/1IYY_tgx_IHuhSq3AJ5eI5OnqOPBNLWSHKh2a30DoXe8/edit?usp=sharing"",""กระบี่!J389"")"),0)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IFERROR(__xludf.DUMMYFUNCTION("IMPORTRANGE(""https://docs.google.com/spreadsheets/d/1IYY_tgx_IHuhSq3AJ5eI5OnqOPBNLWSHKh2a30DoXe8/edit?usp=sharing"",""กระบี่!I390"")"),0)</f>
        <v>0</v>
      </c>
      <c r="J495" s="442">
        <f ca="1">IFERROR(__xludf.DUMMYFUNCTION("IMPORTRANGE(""https://docs.google.com/spreadsheets/d/1IYY_tgx_IHuhSq3AJ5eI5OnqOPBNLWSHKh2a30DoXe8/edit?usp=sharing"",""กระบี่!J390"")"),0)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IFERROR(__xludf.DUMMYFUNCTION("IMPORTRANGE(""https://docs.google.com/spreadsheets/d/1IYY_tgx_IHuhSq3AJ5eI5OnqOPBNLWSHKh2a30DoXe8/edit?usp=sharing"",""กระบี่!I391"")"),0)</f>
        <v>0</v>
      </c>
      <c r="J496" s="442">
        <f ca="1">IFERROR(__xludf.DUMMYFUNCTION("IMPORTRANGE(""https://docs.google.com/spreadsheets/d/1IYY_tgx_IHuhSq3AJ5eI5OnqOPBNLWSHKh2a30DoXe8/edit?usp=sharing"",""กระบี่!J391"")"),0)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IFERROR(__xludf.DUMMYFUNCTION("IMPORTRANGE(""https://docs.google.com/spreadsheets/d/1IYY_tgx_IHuhSq3AJ5eI5OnqOPBNLWSHKh2a30DoXe8/edit?usp=sharing"",""กระบี่!I392"")"),497)</f>
        <v>497</v>
      </c>
      <c r="J497" s="449">
        <f ca="1">IFERROR(__xludf.DUMMYFUNCTION("IMPORTRANGE(""https://docs.google.com/spreadsheets/d/1IYY_tgx_IHuhSq3AJ5eI5OnqOPBNLWSHKh2a30DoXe8/edit?usp=sharing"",""กระบี่!J392"")"),0)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IFERROR(__xludf.DUMMYFUNCTION("IMPORTRANGE(""https://docs.google.com/spreadsheets/d/1IYY_tgx_IHuhSq3AJ5eI5OnqOPBNLWSHKh2a30DoXe8/edit?usp=sharing"",""กระบี่!I393"")"),497)</f>
        <v>497</v>
      </c>
      <c r="J498" s="426">
        <f ca="1">IFERROR(__xludf.DUMMYFUNCTION("IMPORTRANGE(""https://docs.google.com/spreadsheets/d/1IYY_tgx_IHuhSq3AJ5eI5OnqOPBNLWSHKh2a30DoXe8/edit?usp=sharing"",""กระบี่!J393"")"),0)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IFERROR(__xludf.DUMMYFUNCTION("IMPORTRANGE(""https://docs.google.com/spreadsheets/d/1IYY_tgx_IHuhSq3AJ5eI5OnqOPBNLWSHKh2a30DoXe8/edit?usp=sharing"",""กระบี่!I394"")"),55)</f>
        <v>55</v>
      </c>
      <c r="J499" s="426">
        <f ca="1">IFERROR(__xludf.DUMMYFUNCTION("IMPORTRANGE(""https://docs.google.com/spreadsheets/d/1IYY_tgx_IHuhSq3AJ5eI5OnqOPBNLWSHKh2a30DoXe8/edit?usp=sharing"",""กระบี่!J394"")"),0)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IFERROR(__xludf.DUMMYFUNCTION("IMPORTRANGE(""https://docs.google.com/spreadsheets/d/1IYY_tgx_IHuhSq3AJ5eI5OnqOPBNLWSHKh2a30DoXe8/edit?usp=sharing"",""กระบี่!I395"")"),0)</f>
        <v>0</v>
      </c>
      <c r="J500" s="166">
        <f ca="1">IFERROR(__xludf.DUMMYFUNCTION("IMPORTRANGE(""https://docs.google.com/spreadsheets/d/1IYY_tgx_IHuhSq3AJ5eI5OnqOPBNLWSHKh2a30DoXe8/edit?usp=sharing"",""กระบี่!J395"")"),0)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IFERROR(__xludf.DUMMYFUNCTION("IMPORTRANGE(""https://docs.google.com/spreadsheets/d/1IYY_tgx_IHuhSq3AJ5eI5OnqOPBNLWSHKh2a30DoXe8/edit?usp=sharing"",""กระบี่!I396"")"),0)</f>
        <v>0</v>
      </c>
      <c r="J501" s="166">
        <f ca="1">IFERROR(__xludf.DUMMYFUNCTION("IMPORTRANGE(""https://docs.google.com/spreadsheets/d/1IYY_tgx_IHuhSq3AJ5eI5OnqOPBNLWSHKh2a30DoXe8/edit?usp=sharing"",""กระบี่!J396"")"),0)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IFERROR(__xludf.DUMMYFUNCTION("IMPORTRANGE(""https://docs.google.com/spreadsheets/d/1IYY_tgx_IHuhSq3AJ5eI5OnqOPBNLWSHKh2a30DoXe8/edit?usp=sharing"",""กระบี่!I397"")"),0)</f>
        <v>0</v>
      </c>
      <c r="J502" s="195">
        <f ca="1">IFERROR(__xludf.DUMMYFUNCTION("IMPORTRANGE(""https://docs.google.com/spreadsheets/d/1IYY_tgx_IHuhSq3AJ5eI5OnqOPBNLWSHKh2a30DoXe8/edit?usp=sharing"",""กระบี่!J397"")"),0)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IFERROR(__xludf.DUMMYFUNCTION("IMPORTRANGE(""https://docs.google.com/spreadsheets/d/1IYY_tgx_IHuhSq3AJ5eI5OnqOPBNLWSHKh2a30DoXe8/edit?usp=sharing"",""กระบี่!I398"")"),0)</f>
        <v>0</v>
      </c>
      <c r="J503" s="204">
        <f ca="1">IFERROR(__xludf.DUMMYFUNCTION("IMPORTRANGE(""https://docs.google.com/spreadsheets/d/1IYY_tgx_IHuhSq3AJ5eI5OnqOPBNLWSHKh2a30DoXe8/edit?usp=sharing"",""กระบี่!J398"")"),0)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IFERROR(__xludf.DUMMYFUNCTION("IMPORTRANGE(""https://docs.google.com/spreadsheets/d/1IYY_tgx_IHuhSq3AJ5eI5OnqOPBNLWSHKh2a30DoXe8/edit?usp=sharing"",""กระบี่!I399"")"),0)</f>
        <v>0</v>
      </c>
      <c r="J504" s="195">
        <f ca="1">IFERROR(__xludf.DUMMYFUNCTION("IMPORTRANGE(""https://docs.google.com/spreadsheets/d/1IYY_tgx_IHuhSq3AJ5eI5OnqOPBNLWSHKh2a30DoXe8/edit?usp=sharing"",""กระบี่!J399"")"),0)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IFERROR(__xludf.DUMMYFUNCTION("IMPORTRANGE(""https://docs.google.com/spreadsheets/d/1IYY_tgx_IHuhSq3AJ5eI5OnqOPBNLWSHKh2a30DoXe8/edit?usp=sharing"",""กระบี่!I400"")"),0)</f>
        <v>0</v>
      </c>
      <c r="J505" s="204">
        <f ca="1">IFERROR(__xludf.DUMMYFUNCTION("IMPORTRANGE(""https://docs.google.com/spreadsheets/d/1IYY_tgx_IHuhSq3AJ5eI5OnqOPBNLWSHKh2a30DoXe8/edit?usp=sharing"",""กระบี่!J400"")"),0)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IFERROR(__xludf.DUMMYFUNCTION("IMPORTRANGE(""https://docs.google.com/spreadsheets/d/1IYY_tgx_IHuhSq3AJ5eI5OnqOPBNLWSHKh2a30DoXe8/edit?usp=sharing"",""กระบี่!I401"")"),0)</f>
        <v>0</v>
      </c>
      <c r="J506" s="195">
        <f ca="1">IFERROR(__xludf.DUMMYFUNCTION("IMPORTRANGE(""https://docs.google.com/spreadsheets/d/1IYY_tgx_IHuhSq3AJ5eI5OnqOPBNLWSHKh2a30DoXe8/edit?usp=sharing"",""กระบี่!J401"")"),0)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IFERROR(__xludf.DUMMYFUNCTION("IMPORTRANGE(""https://docs.google.com/spreadsheets/d/1IYY_tgx_IHuhSq3AJ5eI5OnqOPBNLWSHKh2a30DoXe8/edit?usp=sharing"",""กระบี่!I402"")"),0)</f>
        <v>0</v>
      </c>
      <c r="J507" s="204">
        <f ca="1">IFERROR(__xludf.DUMMYFUNCTION("IMPORTRANGE(""https://docs.google.com/spreadsheets/d/1IYY_tgx_IHuhSq3AJ5eI5OnqOPBNLWSHKh2a30DoXe8/edit?usp=sharing"",""กระบี่!J402"")"),0)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IFERROR(__xludf.DUMMYFUNCTION("IMPORTRANGE(""https://docs.google.com/spreadsheets/d/1IYY_tgx_IHuhSq3AJ5eI5OnqOPBNLWSHKh2a30DoXe8/edit?usp=sharing"",""กระบี่!I403"")"),0)</f>
        <v>0</v>
      </c>
      <c r="J508" s="166">
        <f ca="1">IFERROR(__xludf.DUMMYFUNCTION("IMPORTRANGE(""https://docs.google.com/spreadsheets/d/1IYY_tgx_IHuhSq3AJ5eI5OnqOPBNLWSHKh2a30DoXe8/edit?usp=sharing"",""กระบี่!J403"")"),0)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IFERROR(__xludf.DUMMYFUNCTION("IMPORTRANGE(""https://docs.google.com/spreadsheets/d/1IYY_tgx_IHuhSq3AJ5eI5OnqOPBNLWSHKh2a30DoXe8/edit?usp=sharing"",""กระบี่!I404"")"),0)</f>
        <v>0</v>
      </c>
      <c r="J509" s="166">
        <f ca="1">IFERROR(__xludf.DUMMYFUNCTION("IMPORTRANGE(""https://docs.google.com/spreadsheets/d/1IYY_tgx_IHuhSq3AJ5eI5OnqOPBNLWSHKh2a30DoXe8/edit?usp=sharing"",""กระบี่!J404"")"),0)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IFERROR(__xludf.DUMMYFUNCTION("IMPORTRANGE(""https://docs.google.com/spreadsheets/d/1IYY_tgx_IHuhSq3AJ5eI5OnqOPBNLWSHKh2a30DoXe8/edit?usp=sharing"",""กระบี่!I405"")"),0)</f>
        <v>0</v>
      </c>
      <c r="J510" s="204">
        <f ca="1">IFERROR(__xludf.DUMMYFUNCTION("IMPORTRANGE(""https://docs.google.com/spreadsheets/d/1IYY_tgx_IHuhSq3AJ5eI5OnqOPBNLWSHKh2a30DoXe8/edit?usp=sharing"",""กระบี่!J405"")"),0)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IFERROR(__xludf.DUMMYFUNCTION("IMPORTRANGE(""https://docs.google.com/spreadsheets/d/1IYY_tgx_IHuhSq3AJ5eI5OnqOPBNLWSHKh2a30DoXe8/edit?usp=sharing"",""กระบี่!I406"")"),0)</f>
        <v>0</v>
      </c>
      <c r="J511" s="204">
        <f ca="1">IFERROR(__xludf.DUMMYFUNCTION("IMPORTRANGE(""https://docs.google.com/spreadsheets/d/1IYY_tgx_IHuhSq3AJ5eI5OnqOPBNLWSHKh2a30DoXe8/edit?usp=sharing"",""กระบี่!J406"")"),0)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IFERROR(__xludf.DUMMYFUNCTION("IMPORTRANGE(""https://docs.google.com/spreadsheets/d/1IYY_tgx_IHuhSq3AJ5eI5OnqOPBNLWSHKh2a30DoXe8/edit?usp=sharing"",""กระบี่!I407"")"),0)</f>
        <v>0</v>
      </c>
      <c r="J512" s="204">
        <f ca="1">IFERROR(__xludf.DUMMYFUNCTION("IMPORTRANGE(""https://docs.google.com/spreadsheets/d/1IYY_tgx_IHuhSq3AJ5eI5OnqOPBNLWSHKh2a30DoXe8/edit?usp=sharing"",""กระบี่!J407"")"),0)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IFERROR(__xludf.DUMMYFUNCTION("IMPORTRANGE(""https://docs.google.com/spreadsheets/d/1IYY_tgx_IHuhSq3AJ5eI5OnqOPBNLWSHKh2a30DoXe8/edit?usp=sharing"",""กระบี่!I408"")"),0)</f>
        <v>0</v>
      </c>
      <c r="J513" s="204">
        <f ca="1">IFERROR(__xludf.DUMMYFUNCTION("IMPORTRANGE(""https://docs.google.com/spreadsheets/d/1IYY_tgx_IHuhSq3AJ5eI5OnqOPBNLWSHKh2a30DoXe8/edit?usp=sharing"",""กระบี่!J408"")"),0)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IFERROR(__xludf.DUMMYFUNCTION("IMPORTRANGE(""https://docs.google.com/spreadsheets/d/1IYY_tgx_IHuhSq3AJ5eI5OnqOPBNLWSHKh2a30DoXe8/edit?usp=sharing"",""กระบี่!I409"")"),0)</f>
        <v>0</v>
      </c>
      <c r="J514" s="204">
        <f ca="1">IFERROR(__xludf.DUMMYFUNCTION("IMPORTRANGE(""https://docs.google.com/spreadsheets/d/1IYY_tgx_IHuhSq3AJ5eI5OnqOPBNLWSHKh2a30DoXe8/edit?usp=sharing"",""กระบี่!J409"")"),0)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IFERROR(__xludf.DUMMYFUNCTION("IMPORTRANGE(""https://docs.google.com/spreadsheets/d/1IYY_tgx_IHuhSq3AJ5eI5OnqOPBNLWSHKh2a30DoXe8/edit?usp=sharing"",""กระบี่!I410"")"),0)</f>
        <v>0</v>
      </c>
      <c r="J515" s="204">
        <f ca="1">IFERROR(__xludf.DUMMYFUNCTION("IMPORTRANGE(""https://docs.google.com/spreadsheets/d/1IYY_tgx_IHuhSq3AJ5eI5OnqOPBNLWSHKh2a30DoXe8/edit?usp=sharing"",""กระบี่!J410"")"),0)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IFERROR(__xludf.DUMMYFUNCTION("IMPORTRANGE(""https://docs.google.com/spreadsheets/d/1IYY_tgx_IHuhSq3AJ5eI5OnqOPBNLWSHKh2a30DoXe8/edit?usp=sharing"",""กระบี่!I411"")"),0)</f>
        <v>0</v>
      </c>
      <c r="J516" s="273">
        <f ca="1">IFERROR(__xludf.DUMMYFUNCTION("IMPORTRANGE(""https://docs.google.com/spreadsheets/d/1IYY_tgx_IHuhSq3AJ5eI5OnqOPBNLWSHKh2a30DoXe8/edit?usp=sharing"",""กระบี่!J411"")"),0)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IFERROR(__xludf.DUMMYFUNCTION("IMPORTRANGE(""https://docs.google.com/spreadsheets/d/1IYY_tgx_IHuhSq3AJ5eI5OnqOPBNLWSHKh2a30DoXe8/edit?usp=sharing"",""กระบี่!I412"")"),0)</f>
        <v>0</v>
      </c>
      <c r="J517" s="290">
        <f ca="1">IFERROR(__xludf.DUMMYFUNCTION("IMPORTRANGE(""https://docs.google.com/spreadsheets/d/1IYY_tgx_IHuhSq3AJ5eI5OnqOPBNLWSHKh2a30DoXe8/edit?usp=sharing"",""กระบี่!J412"")"),0)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IFERROR(__xludf.DUMMYFUNCTION("IMPORTRANGE(""https://docs.google.com/spreadsheets/d/1IYY_tgx_IHuhSq3AJ5eI5OnqOPBNLWSHKh2a30DoXe8/edit?usp=sharing"",""กระบี่!I413"")"),0)</f>
        <v>0</v>
      </c>
      <c r="J518" s="290">
        <f ca="1">IFERROR(__xludf.DUMMYFUNCTION("IMPORTRANGE(""https://docs.google.com/spreadsheets/d/1IYY_tgx_IHuhSq3AJ5eI5OnqOPBNLWSHKh2a30DoXe8/edit?usp=sharing"",""กระบี่!J413"")"),0)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IFERROR(__xludf.DUMMYFUNCTION("IMPORTRANGE(""https://docs.google.com/spreadsheets/d/1IYY_tgx_IHuhSq3AJ5eI5OnqOPBNLWSHKh2a30DoXe8/edit?usp=sharing"",""กระบี่!I414"")"),0)</f>
        <v>0</v>
      </c>
      <c r="J519" s="194">
        <f ca="1">IFERROR(__xludf.DUMMYFUNCTION("IMPORTRANGE(""https://docs.google.com/spreadsheets/d/1IYY_tgx_IHuhSq3AJ5eI5OnqOPBNLWSHKh2a30DoXe8/edit?usp=sharing"",""กระบี่!J414"")"),0)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IFERROR(__xludf.DUMMYFUNCTION("IMPORTRANGE(""https://docs.google.com/spreadsheets/d/1IYY_tgx_IHuhSq3AJ5eI5OnqOPBNLWSHKh2a30DoXe8/edit?usp=sharing"",""กระบี่!I415"")"),0)</f>
        <v>0</v>
      </c>
      <c r="J520" s="194">
        <f ca="1">IFERROR(__xludf.DUMMYFUNCTION("IMPORTRANGE(""https://docs.google.com/spreadsheets/d/1IYY_tgx_IHuhSq3AJ5eI5OnqOPBNLWSHKh2a30DoXe8/edit?usp=sharing"",""กระบี่!J415"")"),0)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IFERROR(__xludf.DUMMYFUNCTION("IMPORTRANGE(""https://docs.google.com/spreadsheets/d/1IYY_tgx_IHuhSq3AJ5eI5OnqOPBNLWSHKh2a30DoXe8/edit?usp=sharing"",""กระบี่!I416"")"),0)</f>
        <v>0</v>
      </c>
      <c r="J521" s="194">
        <f ca="1">IFERROR(__xludf.DUMMYFUNCTION("IMPORTRANGE(""https://docs.google.com/spreadsheets/d/1IYY_tgx_IHuhSq3AJ5eI5OnqOPBNLWSHKh2a30DoXe8/edit?usp=sharing"",""กระบี่!J416"")"),0)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IFERROR(__xludf.DUMMYFUNCTION("IMPORTRANGE(""https://docs.google.com/spreadsheets/d/1IYY_tgx_IHuhSq3AJ5eI5OnqOPBNLWSHKh2a30DoXe8/edit?usp=sharing"",""กระบี่!I417"")"),0)</f>
        <v>0</v>
      </c>
      <c r="J522" s="194">
        <f ca="1">IFERROR(__xludf.DUMMYFUNCTION("IMPORTRANGE(""https://docs.google.com/spreadsheets/d/1IYY_tgx_IHuhSq3AJ5eI5OnqOPBNLWSHKh2a30DoXe8/edit?usp=sharing"",""กระบี่!J417"")"),0)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IFERROR(__xludf.DUMMYFUNCTION("IMPORTRANGE(""https://docs.google.com/spreadsheets/d/1IYY_tgx_IHuhSq3AJ5eI5OnqOPBNLWSHKh2a30DoXe8/edit?usp=sharing"",""กระบี่!I418"")"),0)</f>
        <v>0</v>
      </c>
      <c r="J523" s="194">
        <f ca="1">IFERROR(__xludf.DUMMYFUNCTION("IMPORTRANGE(""https://docs.google.com/spreadsheets/d/1IYY_tgx_IHuhSq3AJ5eI5OnqOPBNLWSHKh2a30DoXe8/edit?usp=sharing"",""กระบี่!J418"")"),288)</f>
        <v>288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IFERROR(__xludf.DUMMYFUNCTION("IMPORTRANGE(""https://docs.google.com/spreadsheets/d/1IYY_tgx_IHuhSq3AJ5eI5OnqOPBNLWSHKh2a30DoXe8/edit?usp=sharing"",""กระบี่!I419"")"),0)</f>
        <v>0</v>
      </c>
      <c r="J524" s="194">
        <f ca="1">IFERROR(__xludf.DUMMYFUNCTION("IMPORTRANGE(""https://docs.google.com/spreadsheets/d/1IYY_tgx_IHuhSq3AJ5eI5OnqOPBNLWSHKh2a30DoXe8/edit?usp=sharing"",""กระบี่!J419"")"),22)</f>
        <v>22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IFERROR(__xludf.DUMMYFUNCTION("IMPORTRANGE(""https://docs.google.com/spreadsheets/d/1IYY_tgx_IHuhSq3AJ5eI5OnqOPBNLWSHKh2a30DoXe8/edit?usp=sharing"",""กระบี่!I420"")"),288)</f>
        <v>288</v>
      </c>
      <c r="J525" s="290">
        <f ca="1">IFERROR(__xludf.DUMMYFUNCTION("IMPORTRANGE(""https://docs.google.com/spreadsheets/d/1IYY_tgx_IHuhSq3AJ5eI5OnqOPBNLWSHKh2a30DoXe8/edit?usp=sharing"",""กระบี่!J420"")"),225)</f>
        <v>225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IFERROR(__xludf.DUMMYFUNCTION("IMPORTRANGE(""https://docs.google.com/spreadsheets/d/1IYY_tgx_IHuhSq3AJ5eI5OnqOPBNLWSHKh2a30DoXe8/edit?usp=sharing"",""กระบี่!I421"")"),22)</f>
        <v>22</v>
      </c>
      <c r="J526" s="290">
        <f ca="1">IFERROR(__xludf.DUMMYFUNCTION("IMPORTRANGE(""https://docs.google.com/spreadsheets/d/1IYY_tgx_IHuhSq3AJ5eI5OnqOPBNLWSHKh2a30DoXe8/edit?usp=sharing"",""กระบี่!J421"")"),18)</f>
        <v>18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IFERROR(__xludf.DUMMYFUNCTION("IMPORTRANGE(""https://docs.google.com/spreadsheets/d/1IYY_tgx_IHuhSq3AJ5eI5OnqOPBNLWSHKh2a30DoXe8/edit?usp=sharing"",""กระบี่!I422"")"),0)</f>
        <v>0</v>
      </c>
      <c r="J527" s="204">
        <f ca="1">IFERROR(__xludf.DUMMYFUNCTION("IMPORTRANGE(""https://docs.google.com/spreadsheets/d/1IYY_tgx_IHuhSq3AJ5eI5OnqOPBNLWSHKh2a30DoXe8/edit?usp=sharing"",""กระบี่!J422"")"),0)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IFERROR(__xludf.DUMMYFUNCTION("IMPORTRANGE(""https://docs.google.com/spreadsheets/d/1IYY_tgx_IHuhSq3AJ5eI5OnqOPBNLWSHKh2a30DoXe8/edit?usp=sharing"",""กระบี่!I423"")"),0)</f>
        <v>0</v>
      </c>
      <c r="J528" s="204">
        <f ca="1">IFERROR(__xludf.DUMMYFUNCTION("IMPORTRANGE(""https://docs.google.com/spreadsheets/d/1IYY_tgx_IHuhSq3AJ5eI5OnqOPBNLWSHKh2a30DoXe8/edit?usp=sharing"",""กระบี่!J423"")"),0)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IFERROR(__xludf.DUMMYFUNCTION("IMPORTRANGE(""https://docs.google.com/spreadsheets/d/1IYY_tgx_IHuhSq3AJ5eI5OnqOPBNLWSHKh2a30DoXe8/edit?usp=sharing"",""กระบี่!I424"")"),0)</f>
        <v>0</v>
      </c>
      <c r="J529" s="204">
        <f ca="1">IFERROR(__xludf.DUMMYFUNCTION("IMPORTRANGE(""https://docs.google.com/spreadsheets/d/1IYY_tgx_IHuhSq3AJ5eI5OnqOPBNLWSHKh2a30DoXe8/edit?usp=sharing"",""กระบี่!J424"")"),0)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IFERROR(__xludf.DUMMYFUNCTION("IMPORTRANGE(""https://docs.google.com/spreadsheets/d/1IYY_tgx_IHuhSq3AJ5eI5OnqOPBNLWSHKh2a30DoXe8/edit?usp=sharing"",""กระบี่!I425"")"),0)</f>
        <v>0</v>
      </c>
      <c r="J530" s="204">
        <f ca="1">IFERROR(__xludf.DUMMYFUNCTION("IMPORTRANGE(""https://docs.google.com/spreadsheets/d/1IYY_tgx_IHuhSq3AJ5eI5OnqOPBNLWSHKh2a30DoXe8/edit?usp=sharing"",""กระบี่!J425"")"),0)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IFERROR(__xludf.DUMMYFUNCTION("IMPORTRANGE(""https://docs.google.com/spreadsheets/d/1IYY_tgx_IHuhSq3AJ5eI5OnqOPBNLWSHKh2a30DoXe8/edit?usp=sharing"",""กระบี่!I426"")"),0)</f>
        <v>0</v>
      </c>
      <c r="J531" s="204">
        <f ca="1">IFERROR(__xludf.DUMMYFUNCTION("IMPORTRANGE(""https://docs.google.com/spreadsheets/d/1IYY_tgx_IHuhSq3AJ5eI5OnqOPBNLWSHKh2a30DoXe8/edit?usp=sharing"",""กระบี่!J426"")"),225)</f>
        <v>225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IFERROR(__xludf.DUMMYFUNCTION("IMPORTRANGE(""https://docs.google.com/spreadsheets/d/1IYY_tgx_IHuhSq3AJ5eI5OnqOPBNLWSHKh2a30DoXe8/edit?usp=sharing"",""กระบี่!I427"")"),0)</f>
        <v>0</v>
      </c>
      <c r="J532" s="472">
        <f ca="1">IFERROR(__xludf.DUMMYFUNCTION("IMPORTRANGE(""https://docs.google.com/spreadsheets/d/1IYY_tgx_IHuhSq3AJ5eI5OnqOPBNLWSHKh2a30DoXe8/edit?usp=sharing"",""กระบี่!J427"")"),18)</f>
        <v>18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IFERROR(__xludf.DUMMYFUNCTION("IMPORTRANGE(""https://docs.google.com/spreadsheets/d/1IYY_tgx_IHuhSq3AJ5eI5OnqOPBNLWSHKh2a30DoXe8/edit?usp=sharing"",""กระบี่!I428"")"),22)</f>
        <v>22</v>
      </c>
      <c r="J533" s="416">
        <f ca="1">IFERROR(__xludf.DUMMYFUNCTION("IMPORTRANGE(""https://docs.google.com/spreadsheets/d/1IYY_tgx_IHuhSq3AJ5eI5OnqOPBNLWSHKh2a30DoXe8/edit?usp=sharing"",""กระบี่!J428"")"),22)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IFERROR(__xludf.DUMMYFUNCTION("IMPORTRANGE(""https://docs.google.com/spreadsheets/d/1IYY_tgx_IHuhSq3AJ5eI5OnqOPBNLWSHKh2a30DoXe8/edit?usp=sharing"",""กระบี่!L428"")"),34340)</f>
        <v>34340</v>
      </c>
      <c r="M533" s="418"/>
      <c r="N533" s="418">
        <f ca="1">IFERROR(__xludf.DUMMYFUNCTION("IMPORTRANGE(""https://docs.google.com/spreadsheets/d/1IYY_tgx_IHuhSq3AJ5eI5OnqOPBNLWSHKh2a30DoXe8/edit?usp=sharing"",""กระบี่!M428"")"),34340)</f>
        <v>34340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IFERROR(__xludf.DUMMYFUNCTION("IMPORTRANGE(""https://docs.google.com/spreadsheets/d/1IYY_tgx_IHuhSq3AJ5eI5OnqOPBNLWSHKh2a30DoXe8/edit?usp=sharing"",""กระบี่!L429"")"),0)</f>
        <v>0</v>
      </c>
      <c r="M534" s="168"/>
      <c r="N534" s="175">
        <f ca="1">IFERROR(__xludf.DUMMYFUNCTION("IMPORTRANGE(""https://docs.google.com/spreadsheets/d/1IYY_tgx_IHuhSq3AJ5eI5OnqOPBNLWSHKh2a30DoXe8/edit?usp=sharing"",""กระบี่!M429"")"),0)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IFERROR(__xludf.DUMMYFUNCTION("IMPORTRANGE(""https://docs.google.com/spreadsheets/d/1IYY_tgx_IHuhSq3AJ5eI5OnqOPBNLWSHKh2a30DoXe8/edit?usp=sharing"",""กระบี่!L430"")"),34340)</f>
        <v>34340</v>
      </c>
      <c r="M535" s="169"/>
      <c r="N535" s="175">
        <f ca="1">IFERROR(__xludf.DUMMYFUNCTION("IMPORTRANGE(""https://docs.google.com/spreadsheets/d/1IYY_tgx_IHuhSq3AJ5eI5OnqOPBNLWSHKh2a30DoXe8/edit?usp=sharing"",""กระบี่!M430"")"),34340)</f>
        <v>34340</v>
      </c>
      <c r="O535" s="175">
        <f t="shared" ca="1" si="118"/>
        <v>100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IFERROR(__xludf.DUMMYFUNCTION("IMPORTRANGE(""https://docs.google.com/spreadsheets/d/1IYY_tgx_IHuhSq3AJ5eI5OnqOPBNLWSHKh2a30DoXe8/edit?usp=sharing"",""กระบี่!L431"")"),0)</f>
        <v>0</v>
      </c>
      <c r="M536" s="175"/>
      <c r="N536" s="175">
        <f ca="1">IFERROR(__xludf.DUMMYFUNCTION("IMPORTRANGE(""https://docs.google.com/spreadsheets/d/1IYY_tgx_IHuhSq3AJ5eI5OnqOPBNLWSHKh2a30DoXe8/edit?usp=sharing"",""กระบี่!M431"")"),0)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IFERROR(__xludf.DUMMYFUNCTION("IMPORTRANGE(""https://docs.google.com/spreadsheets/d/1IYY_tgx_IHuhSq3AJ5eI5OnqOPBNLWSHKh2a30DoXe8/edit?usp=sharing"",""กระบี่!L432"")"),34340)</f>
        <v>34340</v>
      </c>
      <c r="M537" s="175"/>
      <c r="N537" s="175">
        <f ca="1">IFERROR(__xludf.DUMMYFUNCTION("IMPORTRANGE(""https://docs.google.com/spreadsheets/d/1IYY_tgx_IHuhSq3AJ5eI5OnqOPBNLWSHKh2a30DoXe8/edit?usp=sharing"",""กระบี่!M432"")"),34340)</f>
        <v>34340</v>
      </c>
      <c r="O537" s="175">
        <f t="shared" ca="1" si="118"/>
        <v>100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IFERROR(__xludf.DUMMYFUNCTION("IMPORTRANGE(""https://docs.google.com/spreadsheets/d/1IYY_tgx_IHuhSq3AJ5eI5OnqOPBNLWSHKh2a30DoXe8/edit?usp=sharing"",""กระบี่!M433"")"),18740)</f>
        <v>18740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IFERROR(__xludf.DUMMYFUNCTION("IMPORTRANGE(""https://docs.google.com/spreadsheets/d/1IYY_tgx_IHuhSq3AJ5eI5OnqOPBNLWSHKh2a30DoXe8/edit?usp=sharing"",""กระบี่!M434"")"),0)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IFERROR(__xludf.DUMMYFUNCTION("IMPORTRANGE(""https://docs.google.com/spreadsheets/d/1IYY_tgx_IHuhSq3AJ5eI5OnqOPBNLWSHKh2a30DoXe8/edit?usp=sharing"",""กระบี่!M435"")"),0)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IFERROR(__xludf.DUMMYFUNCTION("IMPORTRANGE(""https://docs.google.com/spreadsheets/d/1IYY_tgx_IHuhSq3AJ5eI5OnqOPBNLWSHKh2a30DoXe8/edit?usp=sharing"",""กระบี่!M436"")"),15600)</f>
        <v>15600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IFERROR(__xludf.DUMMYFUNCTION("IMPORTRANGE(""https://docs.google.com/spreadsheets/d/1IYY_tgx_IHuhSq3AJ5eI5OnqOPBNLWSHKh2a30DoXe8/edit?usp=sharing"",""กระบี่!J438"")"),0)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IFERROR(__xludf.DUMMYFUNCTION("IMPORTRANGE(""https://docs.google.com/spreadsheets/d/1IYY_tgx_IHuhSq3AJ5eI5OnqOPBNLWSHKh2a30DoXe8/edit?usp=sharing"",""กระบี่!J439"")"),1)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IFERROR(__xludf.DUMMYFUNCTION("IMPORTRANGE(""https://docs.google.com/spreadsheets/d/1IYY_tgx_IHuhSq3AJ5eI5OnqOPBNLWSHKh2a30DoXe8/edit?usp=sharing"",""กระบี่!J440"")"),1)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IFERROR(__xludf.DUMMYFUNCTION("IMPORTRANGE(""https://docs.google.com/spreadsheets/d/1IYY_tgx_IHuhSq3AJ5eI5OnqOPBNLWSHKh2a30DoXe8/edit?usp=sharing"",""กระบี่!J441"")"),1)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IFERROR(__xludf.DUMMYFUNCTION("IMPORTRANGE(""https://docs.google.com/spreadsheets/d/1IYY_tgx_IHuhSq3AJ5eI5OnqOPBNLWSHKh2a30DoXe8/edit?usp=sharing"",""กระบี่!I442"")"),22)</f>
        <v>22</v>
      </c>
      <c r="J547" s="195">
        <f ca="1">IFERROR(__xludf.DUMMYFUNCTION("IMPORTRANGE(""https://docs.google.com/spreadsheets/d/1IYY_tgx_IHuhSq3AJ5eI5OnqOPBNLWSHKh2a30DoXe8/edit?usp=sharing"",""กระบี่!J442"")"),22)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IFERROR(__xludf.DUMMYFUNCTION("IMPORTRANGE(""https://docs.google.com/spreadsheets/d/1IYY_tgx_IHuhSq3AJ5eI5OnqOPBNLWSHKh2a30DoXe8/edit?usp=sharing"",""กระบี่!J166"")"),0)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IFERROR(__xludf.DUMMYFUNCTION("IMPORTRANGE(""https://docs.google.com/spreadsheets/d/1IYY_tgx_IHuhSq3AJ5eI5OnqOPBNLWSHKh2a30DoXe8/edit?usp=sharing"",""กระบี่!J444"")"),0)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IFERROR(__xludf.DUMMYFUNCTION("IMPORTRANGE(""https://docs.google.com/spreadsheets/d/1IYY_tgx_IHuhSq3AJ5eI5OnqOPBNLWSHKh2a30DoXe8/edit?usp=sharing"",""กระบี่!J445"")"),0)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IFERROR(__xludf.DUMMYFUNCTION("IMPORTRANGE(""https://docs.google.com/spreadsheets/d/1IYY_tgx_IHuhSq3AJ5eI5OnqOPBNLWSHKh2a30DoXe8/edit?usp=sharing"",""กระบี่!I446"")"),0)</f>
        <v>0</v>
      </c>
      <c r="J551" s="416">
        <f ca="1">IFERROR(__xludf.DUMMYFUNCTION("IMPORTRANGE(""https://docs.google.com/spreadsheets/d/1IYY_tgx_IHuhSq3AJ5eI5OnqOPBNLWSHKh2a30DoXe8/edit?usp=sharing"",""กระบี่!J446"")"),0)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IFERROR(__xludf.DUMMYFUNCTION("IMPORTRANGE(""https://docs.google.com/spreadsheets/d/1IYY_tgx_IHuhSq3AJ5eI5OnqOPBNLWSHKh2a30DoXe8/edit?usp=sharing"",""กระบี่!L446"")"),0)</f>
        <v>0</v>
      </c>
      <c r="M551" s="418"/>
      <c r="N551" s="418">
        <f ca="1">IFERROR(__xludf.DUMMYFUNCTION("IMPORTRANGE(""https://docs.google.com/spreadsheets/d/1IYY_tgx_IHuhSq3AJ5eI5OnqOPBNLWSHKh2a30DoXe8/edit?usp=sharing"",""กระบี่!M446"")"),0)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IFERROR(__xludf.DUMMYFUNCTION("IMPORTRANGE(""https://docs.google.com/spreadsheets/d/1IYY_tgx_IHuhSq3AJ5eI5OnqOPBNLWSHKh2a30DoXe8/edit?usp=sharing"",""กระบี่!L447"")"),0)</f>
        <v>0</v>
      </c>
      <c r="M552" s="168"/>
      <c r="N552" s="175">
        <f ca="1">IFERROR(__xludf.DUMMYFUNCTION("IMPORTRANGE(""https://docs.google.com/spreadsheets/d/1IYY_tgx_IHuhSq3AJ5eI5OnqOPBNLWSHKh2a30DoXe8/edit?usp=sharing"",""กระบี่!M447"")"),0)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IFERROR(__xludf.DUMMYFUNCTION("IMPORTRANGE(""https://docs.google.com/spreadsheets/d/1IYY_tgx_IHuhSq3AJ5eI5OnqOPBNLWSHKh2a30DoXe8/edit?usp=sharing"",""กระบี่!L448"")"),0)</f>
        <v>0</v>
      </c>
      <c r="M553" s="169"/>
      <c r="N553" s="175">
        <f ca="1">IFERROR(__xludf.DUMMYFUNCTION("IMPORTRANGE(""https://docs.google.com/spreadsheets/d/1IYY_tgx_IHuhSq3AJ5eI5OnqOPBNLWSHKh2a30DoXe8/edit?usp=sharing"",""กระบี่!M448"")"),0)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IFERROR(__xludf.DUMMYFUNCTION("IMPORTRANGE(""https://docs.google.com/spreadsheets/d/1IYY_tgx_IHuhSq3AJ5eI5OnqOPBNLWSHKh2a30DoXe8/edit?usp=sharing"",""กระบี่!L449"")"),0)</f>
        <v>0</v>
      </c>
      <c r="M554" s="175"/>
      <c r="N554" s="175">
        <f ca="1">IFERROR(__xludf.DUMMYFUNCTION("IMPORTRANGE(""https://docs.google.com/spreadsheets/d/1IYY_tgx_IHuhSq3AJ5eI5OnqOPBNLWSHKh2a30DoXe8/edit?usp=sharing"",""กระบี่!M449"")"),0)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IFERROR(__xludf.DUMMYFUNCTION("IMPORTRANGE(""https://docs.google.com/spreadsheets/d/1IYY_tgx_IHuhSq3AJ5eI5OnqOPBNLWSHKh2a30DoXe8/edit?usp=sharing"",""กระบี่!L450"")"),0)</f>
        <v>0</v>
      </c>
      <c r="M555" s="175"/>
      <c r="N555" s="175">
        <f ca="1">IFERROR(__xludf.DUMMYFUNCTION("IMPORTRANGE(""https://docs.google.com/spreadsheets/d/1IYY_tgx_IHuhSq3AJ5eI5OnqOPBNLWSHKh2a30DoXe8/edit?usp=sharing"",""กระบี่!M450"")"),0)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IFERROR(__xludf.DUMMYFUNCTION("IMPORTRANGE(""https://docs.google.com/spreadsheets/d/1IYY_tgx_IHuhSq3AJ5eI5OnqOPBNLWSHKh2a30DoXe8/edit?usp=sharing"",""กระบี่!M451"")"),0)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IFERROR(__xludf.DUMMYFUNCTION("IMPORTRANGE(""https://docs.google.com/spreadsheets/d/1IYY_tgx_IHuhSq3AJ5eI5OnqOPBNLWSHKh2a30DoXe8/edit?usp=sharing"",""กระบี่!M452"")"),0)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IFERROR(__xludf.DUMMYFUNCTION("IMPORTRANGE(""https://docs.google.com/spreadsheets/d/1IYY_tgx_IHuhSq3AJ5eI5OnqOPBNLWSHKh2a30DoXe8/edit?usp=sharing"",""กระบี่!M453"")"),0)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IFERROR(__xludf.DUMMYFUNCTION("IMPORTRANGE(""https://docs.google.com/spreadsheets/d/1IYY_tgx_IHuhSq3AJ5eI5OnqOPBNLWSHKh2a30DoXe8/edit?usp=sharing"",""กระบี่!M454"")"),0)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IFERROR(__xludf.DUMMYFUNCTION("IMPORTRANGE(""https://docs.google.com/spreadsheets/d/1IYY_tgx_IHuhSq3AJ5eI5OnqOPBNLWSHKh2a30DoXe8/edit?usp=sharing"",""กระบี่!I455"")"),0)</f>
        <v>0</v>
      </c>
      <c r="J560" s="166">
        <f ca="1">IFERROR(__xludf.DUMMYFUNCTION("IMPORTRANGE(""https://docs.google.com/spreadsheets/d/1IYY_tgx_IHuhSq3AJ5eI5OnqOPBNLWSHKh2a30DoXe8/edit?usp=sharing"",""กระบี่!J455"")"),0)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IFERROR(__xludf.DUMMYFUNCTION("IMPORTRANGE(""https://docs.google.com/spreadsheets/d/1IYY_tgx_IHuhSq3AJ5eI5OnqOPBNLWSHKh2a30DoXe8/edit?usp=sharing"",""กระบี่!I456"")"),0)</f>
        <v>0</v>
      </c>
      <c r="J561" s="210">
        <f ca="1">IFERROR(__xludf.DUMMYFUNCTION("IMPORTRANGE(""https://docs.google.com/spreadsheets/d/1IYY_tgx_IHuhSq3AJ5eI5OnqOPBNLWSHKh2a30DoXe8/edit?usp=sharing"",""กระบี่!J456"")"),0)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IFERROR(__xludf.DUMMYFUNCTION("IMPORTRANGE(""https://docs.google.com/spreadsheets/d/1IYY_tgx_IHuhSq3AJ5eI5OnqOPBNLWSHKh2a30DoXe8/edit?usp=sharing"",""กระบี่!I459"")"),1100)</f>
        <v>1100</v>
      </c>
      <c r="J564" s="377">
        <f ca="1">IFERROR(__xludf.DUMMYFUNCTION("IMPORTRANGE(""https://docs.google.com/spreadsheets/d/1IYY_tgx_IHuhSq3AJ5eI5OnqOPBNLWSHKh2a30DoXe8/edit?usp=sharing"",""กระบี่!J459"")"),1667)</f>
        <v>1667</v>
      </c>
      <c r="K564" s="378">
        <f ca="1">IF(I564&gt;0,J564*100/I564,0)</f>
        <v>151.54545454545453</v>
      </c>
      <c r="L564" s="379">
        <f ca="1">IFERROR(__xludf.DUMMYFUNCTION("IMPORTRANGE(""https://docs.google.com/spreadsheets/d/1IYY_tgx_IHuhSq3AJ5eI5OnqOPBNLWSHKh2a30DoXe8/edit?usp=sharing"",""กระบี่!L459"")"),122800)</f>
        <v>122800</v>
      </c>
      <c r="M564" s="379"/>
      <c r="N564" s="379">
        <f ca="1">IFERROR(__xludf.DUMMYFUNCTION("IMPORTRANGE(""https://docs.google.com/spreadsheets/d/1IYY_tgx_IHuhSq3AJ5eI5OnqOPBNLWSHKh2a30DoXe8/edit?usp=sharing"",""กระบี่!M459"")"),33000)</f>
        <v>33000</v>
      </c>
      <c r="O564" s="379">
        <f t="shared" ref="O564:O568" ca="1" si="122">+IF(L564&gt;0,N564*100/L564,0)</f>
        <v>26.872964169381106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IFERROR(__xludf.DUMMYFUNCTION("IMPORTRANGE(""https://docs.google.com/spreadsheets/d/1IYY_tgx_IHuhSq3AJ5eI5OnqOPBNLWSHKh2a30DoXe8/edit?usp=sharing"",""กระบี่!L460"")"),0)</f>
        <v>0</v>
      </c>
      <c r="M565" s="168"/>
      <c r="N565" s="175">
        <f ca="1">IFERROR(__xludf.DUMMYFUNCTION("IMPORTRANGE(""https://docs.google.com/spreadsheets/d/1IYY_tgx_IHuhSq3AJ5eI5OnqOPBNLWSHKh2a30DoXe8/edit?usp=sharing"",""กระบี่!M460"")"),0)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IFERROR(__xludf.DUMMYFUNCTION("IMPORTRANGE(""https://docs.google.com/spreadsheets/d/1IYY_tgx_IHuhSq3AJ5eI5OnqOPBNLWSHKh2a30DoXe8/edit?usp=sharing"",""กระบี่!L461"")"),122800)</f>
        <v>122800</v>
      </c>
      <c r="M566" s="169"/>
      <c r="N566" s="175">
        <f ca="1">IFERROR(__xludf.DUMMYFUNCTION("IMPORTRANGE(""https://docs.google.com/spreadsheets/d/1IYY_tgx_IHuhSq3AJ5eI5OnqOPBNLWSHKh2a30DoXe8/edit?usp=sharing"",""กระบี่!M461"")"),33000)</f>
        <v>33000</v>
      </c>
      <c r="O566" s="175">
        <f t="shared" ca="1" si="122"/>
        <v>26.872964169381106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IFERROR(__xludf.DUMMYFUNCTION("IMPORTRANGE(""https://docs.google.com/spreadsheets/d/1IYY_tgx_IHuhSq3AJ5eI5OnqOPBNLWSHKh2a30DoXe8/edit?usp=sharing"",""กระบี่!L462"")"),0)</f>
        <v>0</v>
      </c>
      <c r="M567" s="175"/>
      <c r="N567" s="175">
        <f ca="1">IFERROR(__xludf.DUMMYFUNCTION("IMPORTRANGE(""https://docs.google.com/spreadsheets/d/1IYY_tgx_IHuhSq3AJ5eI5OnqOPBNLWSHKh2a30DoXe8/edit?usp=sharing"",""กระบี่!M462"")"),0)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IFERROR(__xludf.DUMMYFUNCTION("IMPORTRANGE(""https://docs.google.com/spreadsheets/d/1IYY_tgx_IHuhSq3AJ5eI5OnqOPBNLWSHKh2a30DoXe8/edit?usp=sharing"",""กระบี่!L463"")"),122800)</f>
        <v>122800</v>
      </c>
      <c r="M568" s="175"/>
      <c r="N568" s="175">
        <f ca="1">IFERROR(__xludf.DUMMYFUNCTION("IMPORTRANGE(""https://docs.google.com/spreadsheets/d/1IYY_tgx_IHuhSq3AJ5eI5OnqOPBNLWSHKh2a30DoXe8/edit?usp=sharing"",""กระบี่!M463"")"),33000)</f>
        <v>33000</v>
      </c>
      <c r="O568" s="175">
        <f t="shared" ca="1" si="122"/>
        <v>26.872964169381106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IFERROR(__xludf.DUMMYFUNCTION("IMPORTRANGE(""https://docs.google.com/spreadsheets/d/1IYY_tgx_IHuhSq3AJ5eI5OnqOPBNLWSHKh2a30DoXe8/edit?usp=sharing"",""กระบี่!M464"")"),0)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IFERROR(__xludf.DUMMYFUNCTION("IMPORTRANGE(""https://docs.google.com/spreadsheets/d/1IYY_tgx_IHuhSq3AJ5eI5OnqOPBNLWSHKh2a30DoXe8/edit?usp=sharing"",""กระบี่!M465"")"),0)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IFERROR(__xludf.DUMMYFUNCTION("IMPORTRANGE(""https://docs.google.com/spreadsheets/d/1IYY_tgx_IHuhSq3AJ5eI5OnqOPBNLWSHKh2a30DoXe8/edit?usp=sharing"",""กระบี่!M466"")"),33000)</f>
        <v>33000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IFERROR(__xludf.DUMMYFUNCTION("IMPORTRANGE(""https://docs.google.com/spreadsheets/d/1IYY_tgx_IHuhSq3AJ5eI5OnqOPBNLWSHKh2a30DoXe8/edit?usp=sharing"",""กระบี่!M467"")"),0)</f>
        <v>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IFERROR(__xludf.DUMMYFUNCTION("IMPORTRANGE(""https://docs.google.com/spreadsheets/d/1IYY_tgx_IHuhSq3AJ5eI5OnqOPBNLWSHKh2a30DoXe8/edit?usp=sharing"",""กระบี่!I468"")"),1100)</f>
        <v>1100</v>
      </c>
      <c r="J573" s="426">
        <f ca="1">IFERROR(__xludf.DUMMYFUNCTION("IMPORTRANGE(""https://docs.google.com/spreadsheets/d/1IYY_tgx_IHuhSq3AJ5eI5OnqOPBNLWSHKh2a30DoXe8/edit?usp=sharing"",""กระบี่!J468"")"),1667)</f>
        <v>1667</v>
      </c>
      <c r="K573" s="208">
        <f ca="1">IF(I573&gt;0,J573*100/I573,0)</f>
        <v>151.54545454545453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IFERROR(__xludf.DUMMYFUNCTION("IMPORTRANGE(""https://docs.google.com/spreadsheets/d/1IYY_tgx_IHuhSq3AJ5eI5OnqOPBNLWSHKh2a30DoXe8/edit?usp=sharing"",""กระบี่!I470"")"),0)</f>
        <v>0</v>
      </c>
      <c r="J575" s="204">
        <f ca="1">IFERROR(__xludf.DUMMYFUNCTION("IMPORTRANGE(""https://docs.google.com/spreadsheets/d/1IYY_tgx_IHuhSq3AJ5eI5OnqOPBNLWSHKh2a30DoXe8/edit?usp=sharing"",""กระบี่!J470"")"),5)</f>
        <v>5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IFERROR(__xludf.DUMMYFUNCTION("IMPORTRANGE(""https://docs.google.com/spreadsheets/d/1IYY_tgx_IHuhSq3AJ5eI5OnqOPBNLWSHKh2a30DoXe8/edit?usp=sharing"",""กระบี่!I471"")"),0)</f>
        <v>0</v>
      </c>
      <c r="J576" s="204">
        <f ca="1">IFERROR(__xludf.DUMMYFUNCTION("IMPORTRANGE(""https://docs.google.com/spreadsheets/d/1IYY_tgx_IHuhSq3AJ5eI5OnqOPBNLWSHKh2a30DoXe8/edit?usp=sharing"",""กระบี่!J471"")"),107)</f>
        <v>107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IFERROR(__xludf.DUMMYFUNCTION("IMPORTRANGE(""https://docs.google.com/spreadsheets/d/1IYY_tgx_IHuhSq3AJ5eI5OnqOPBNLWSHKh2a30DoXe8/edit?usp=sharing"",""กระบี่!I472"")"),0)</f>
        <v>0</v>
      </c>
      <c r="J577" s="195">
        <f ca="1">IFERROR(__xludf.DUMMYFUNCTION("IMPORTRANGE(""https://docs.google.com/spreadsheets/d/1IYY_tgx_IHuhSq3AJ5eI5OnqOPBNLWSHKh2a30DoXe8/edit?usp=sharing"",""กระบี่!J472"")"),1560)</f>
        <v>1560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IFERROR(__xludf.DUMMYFUNCTION("IMPORTRANGE(""https://docs.google.com/spreadsheets/d/1IYY_tgx_IHuhSq3AJ5eI5OnqOPBNLWSHKh2a30DoXe8/edit?usp=sharing"",""กระบี่!I473"")"),0)</f>
        <v>0</v>
      </c>
      <c r="J578" s="204">
        <f ca="1">IFERROR(__xludf.DUMMYFUNCTION("IMPORTRANGE(""https://docs.google.com/spreadsheets/d/1IYY_tgx_IHuhSq3AJ5eI5OnqOPBNLWSHKh2a30DoXe8/edit?usp=sharing"",""กระบี่!J473"")"),0)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IFERROR(__xludf.DUMMYFUNCTION("IMPORTRANGE(""https://docs.google.com/spreadsheets/d/1IYY_tgx_IHuhSq3AJ5eI5OnqOPBNLWSHKh2a30DoXe8/edit?usp=sharing"",""กระบี่!I474"")"),0)</f>
        <v>0</v>
      </c>
      <c r="J579" s="204">
        <f ca="1">IFERROR(__xludf.DUMMYFUNCTION("IMPORTRANGE(""https://docs.google.com/spreadsheets/d/1IYY_tgx_IHuhSq3AJ5eI5OnqOPBNLWSHKh2a30DoXe8/edit?usp=sharing"",""กระบี่!J474"")"),0)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IFERROR(__xludf.DUMMYFUNCTION("IMPORTRANGE(""https://docs.google.com/spreadsheets/d/1IYY_tgx_IHuhSq3AJ5eI5OnqOPBNLWSHKh2a30DoXe8/edit?usp=sharing"",""กระบี่!I475"")"),0)</f>
        <v>0</v>
      </c>
      <c r="J580" s="377">
        <f ca="1">IFERROR(__xludf.DUMMYFUNCTION("IMPORTRANGE(""https://docs.google.com/spreadsheets/d/1IYY_tgx_IHuhSq3AJ5eI5OnqOPBNLWSHKh2a30DoXe8/edit?usp=sharing"",""กระบี่!J475"")"),0)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IFERROR(__xludf.DUMMYFUNCTION("IMPORTRANGE(""https://docs.google.com/spreadsheets/d/1IYY_tgx_IHuhSq3AJ5eI5OnqOPBNLWSHKh2a30DoXe8/edit?usp=sharing"",""กระบี่!L475"")"),0)</f>
        <v>0</v>
      </c>
      <c r="M580" s="379"/>
      <c r="N580" s="379">
        <f ca="1">IFERROR(__xludf.DUMMYFUNCTION("IMPORTRANGE(""https://docs.google.com/spreadsheets/d/1IYY_tgx_IHuhSq3AJ5eI5OnqOPBNLWSHKh2a30DoXe8/edit?usp=sharing"",""กระบี่!M475"")"),0)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IFERROR(__xludf.DUMMYFUNCTION("IMPORTRANGE(""https://docs.google.com/spreadsheets/d/1IYY_tgx_IHuhSq3AJ5eI5OnqOPBNLWSHKh2a30DoXe8/edit?usp=sharing"",""กระบี่!L476"")"),0)</f>
        <v>0</v>
      </c>
      <c r="M581" s="168"/>
      <c r="N581" s="175">
        <f ca="1">IFERROR(__xludf.DUMMYFUNCTION("IMPORTRANGE(""https://docs.google.com/spreadsheets/d/1IYY_tgx_IHuhSq3AJ5eI5OnqOPBNLWSHKh2a30DoXe8/edit?usp=sharing"",""กระบี่!M476"")"),0)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IFERROR(__xludf.DUMMYFUNCTION("IMPORTRANGE(""https://docs.google.com/spreadsheets/d/1IYY_tgx_IHuhSq3AJ5eI5OnqOPBNLWSHKh2a30DoXe8/edit?usp=sharing"",""กระบี่!L477"")"),0)</f>
        <v>0</v>
      </c>
      <c r="M582" s="169"/>
      <c r="N582" s="175">
        <f ca="1">IFERROR(__xludf.DUMMYFUNCTION("IMPORTRANGE(""https://docs.google.com/spreadsheets/d/1IYY_tgx_IHuhSq3AJ5eI5OnqOPBNLWSHKh2a30DoXe8/edit?usp=sharing"",""กระบี่!M477"")"),0)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IFERROR(__xludf.DUMMYFUNCTION("IMPORTRANGE(""https://docs.google.com/spreadsheets/d/1IYY_tgx_IHuhSq3AJ5eI5OnqOPBNLWSHKh2a30DoXe8/edit?usp=sharing"",""กระบี่!L478"")"),0)</f>
        <v>0</v>
      </c>
      <c r="M583" s="175"/>
      <c r="N583" s="175">
        <f ca="1">IFERROR(__xludf.DUMMYFUNCTION("IMPORTRANGE(""https://docs.google.com/spreadsheets/d/1IYY_tgx_IHuhSq3AJ5eI5OnqOPBNLWSHKh2a30DoXe8/edit?usp=sharing"",""กระบี่!M478"")"),0)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IFERROR(__xludf.DUMMYFUNCTION("IMPORTRANGE(""https://docs.google.com/spreadsheets/d/1IYY_tgx_IHuhSq3AJ5eI5OnqOPBNLWSHKh2a30DoXe8/edit?usp=sharing"",""กระบี่!L479"")"),0)</f>
        <v>0</v>
      </c>
      <c r="M584" s="175"/>
      <c r="N584" s="175">
        <f ca="1">IFERROR(__xludf.DUMMYFUNCTION("IMPORTRANGE(""https://docs.google.com/spreadsheets/d/1IYY_tgx_IHuhSq3AJ5eI5OnqOPBNLWSHKh2a30DoXe8/edit?usp=sharing"",""กระบี่!M479"")"),0)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IFERROR(__xludf.DUMMYFUNCTION("IMPORTRANGE(""https://docs.google.com/spreadsheets/d/1IYY_tgx_IHuhSq3AJ5eI5OnqOPBNLWSHKh2a30DoXe8/edit?usp=sharing"",""กระบี่!M480"")"),0)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IFERROR(__xludf.DUMMYFUNCTION("IMPORTRANGE(""https://docs.google.com/spreadsheets/d/1IYY_tgx_IHuhSq3AJ5eI5OnqOPBNLWSHKh2a30DoXe8/edit?usp=sharing"",""กระบี่!M481"")"),0)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IFERROR(__xludf.DUMMYFUNCTION("IMPORTRANGE(""https://docs.google.com/spreadsheets/d/1IYY_tgx_IHuhSq3AJ5eI5OnqOPBNLWSHKh2a30DoXe8/edit?usp=sharing"",""กระบี่!M482"")"),0)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IFERROR(__xludf.DUMMYFUNCTION("IMPORTRANGE(""https://docs.google.com/spreadsheets/d/1IYY_tgx_IHuhSq3AJ5eI5OnqOPBNLWSHKh2a30DoXe8/edit?usp=sharing"",""กระบี่!M483"")"),0)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IFERROR(__xludf.DUMMYFUNCTION("IMPORTRANGE(""https://docs.google.com/spreadsheets/d/1IYY_tgx_IHuhSq3AJ5eI5OnqOPBNLWSHKh2a30DoXe8/edit?usp=sharing"",""กระบี่!I484"")"),0)</f>
        <v>0</v>
      </c>
      <c r="J589" s="194">
        <f ca="1">IFERROR(__xludf.DUMMYFUNCTION("IMPORTRANGE(""https://docs.google.com/spreadsheets/d/1IYY_tgx_IHuhSq3AJ5eI5OnqOPBNLWSHKh2a30DoXe8/edit?usp=sharing"",""กระบี่!J484"")"),0)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IFERROR(__xludf.DUMMYFUNCTION("IMPORTRANGE(""https://docs.google.com/spreadsheets/d/1IYY_tgx_IHuhSq3AJ5eI5OnqOPBNLWSHKh2a30DoXe8/edit?usp=sharing"",""กระบี่!I485"")"),0)</f>
        <v>0</v>
      </c>
      <c r="J590" s="194">
        <f ca="1">IFERROR(__xludf.DUMMYFUNCTION("IMPORTRANGE(""https://docs.google.com/spreadsheets/d/1IYY_tgx_IHuhSq3AJ5eI5OnqOPBNLWSHKh2a30DoXe8/edit?usp=sharing"",""กระบี่!J485"")"),0)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IFERROR(__xludf.DUMMYFUNCTION("IMPORTRANGE(""https://docs.google.com/spreadsheets/d/1IYY_tgx_IHuhSq3AJ5eI5OnqOPBNLWSHKh2a30DoXe8/edit?usp=sharing"",""กระบี่!I486"")"),0)</f>
        <v>0</v>
      </c>
      <c r="J591" s="194">
        <f ca="1">IFERROR(__xludf.DUMMYFUNCTION("IMPORTRANGE(""https://docs.google.com/spreadsheets/d/1IYY_tgx_IHuhSq3AJ5eI5OnqOPBNLWSHKh2a30DoXe8/edit?usp=sharing"",""กระบี่!J486"")"),0)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IFERROR(__xludf.DUMMYFUNCTION("IMPORTRANGE(""https://docs.google.com/spreadsheets/d/1IYY_tgx_IHuhSq3AJ5eI5OnqOPBNLWSHKh2a30DoXe8/edit?usp=sharing"",""กระบี่!I487"")"),0)</f>
        <v>0</v>
      </c>
      <c r="J592" s="194">
        <f ca="1">IFERROR(__xludf.DUMMYFUNCTION("IMPORTRANGE(""https://docs.google.com/spreadsheets/d/1IYY_tgx_IHuhSq3AJ5eI5OnqOPBNLWSHKh2a30DoXe8/edit?usp=sharing"",""กระบี่!J487"")"),0)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IFERROR(__xludf.DUMMYFUNCTION("IMPORTRANGE(""https://docs.google.com/spreadsheets/d/1IYY_tgx_IHuhSq3AJ5eI5OnqOPBNLWSHKh2a30DoXe8/edit?usp=sharing"",""กระบี่!I488"")"),0)</f>
        <v>0</v>
      </c>
      <c r="J593" s="194">
        <f ca="1">IFERROR(__xludf.DUMMYFUNCTION("IMPORTRANGE(""https://docs.google.com/spreadsheets/d/1IYY_tgx_IHuhSq3AJ5eI5OnqOPBNLWSHKh2a30DoXe8/edit?usp=sharing"",""กระบี่!J488"")"),0)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IFERROR(__xludf.DUMMYFUNCTION("IMPORTRANGE(""https://docs.google.com/spreadsheets/d/1IYY_tgx_IHuhSq3AJ5eI5OnqOPBNLWSHKh2a30DoXe8/edit?usp=sharing"",""กระบี่!I489"")"),0)</f>
        <v>0</v>
      </c>
      <c r="J594" s="194">
        <f ca="1">IFERROR(__xludf.DUMMYFUNCTION("IMPORTRANGE(""https://docs.google.com/spreadsheets/d/1IYY_tgx_IHuhSq3AJ5eI5OnqOPBNLWSHKh2a30DoXe8/edit?usp=sharing"",""กระบี่!J489"")"),0)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IFERROR(__xludf.DUMMYFUNCTION("IMPORTRANGE(""https://docs.google.com/spreadsheets/d/1IYY_tgx_IHuhSq3AJ5eI5OnqOPBNLWSHKh2a30DoXe8/edit?usp=sharing"",""กระบี่!I490"")"),0)</f>
        <v>0</v>
      </c>
      <c r="J595" s="194">
        <f ca="1">IFERROR(__xludf.DUMMYFUNCTION("IMPORTRANGE(""https://docs.google.com/spreadsheets/d/1IYY_tgx_IHuhSq3AJ5eI5OnqOPBNLWSHKh2a30DoXe8/edit?usp=sharing"",""กระบี่!J490"")"),0)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IFERROR(__xludf.DUMMYFUNCTION("IMPORTRANGE(""https://docs.google.com/spreadsheets/d/1IYY_tgx_IHuhSq3AJ5eI5OnqOPBNLWSHKh2a30DoXe8/edit?usp=sharing"",""กระบี่!I491"")"),0)</f>
        <v>0</v>
      </c>
      <c r="J596" s="247">
        <f ca="1">IFERROR(__xludf.DUMMYFUNCTION("IMPORTRANGE(""https://docs.google.com/spreadsheets/d/1IYY_tgx_IHuhSq3AJ5eI5OnqOPBNLWSHKh2a30DoXe8/edit?usp=sharing"",""กระบี่!J491"")"),0)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IFERROR(__xludf.DUMMYFUNCTION("IMPORTRANGE(""https://docs.google.com/spreadsheets/d/1IYY_tgx_IHuhSq3AJ5eI5OnqOPBNLWSHKh2a30DoXe8/edit?usp=sharing"",""กระบี่!I492"")"),428)</f>
        <v>428</v>
      </c>
      <c r="J597" s="493">
        <f ca="1">IFERROR(__xludf.DUMMYFUNCTION("IMPORTRANGE(""https://docs.google.com/spreadsheets/d/1IYY_tgx_IHuhSq3AJ5eI5OnqOPBNLWSHKh2a30DoXe8/edit?usp=sharing"",""กระบี่!J492"")"),0)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IFERROR(__xludf.DUMMYFUNCTION("IMPORTRANGE(""https://docs.google.com/spreadsheets/d/1IYY_tgx_IHuhSq3AJ5eI5OnqOPBNLWSHKh2a30DoXe8/edit?usp=sharing"",""กระบี่!L492"")"),26140)</f>
        <v>26140</v>
      </c>
      <c r="M597" s="418"/>
      <c r="N597" s="418">
        <f ca="1">IFERROR(__xludf.DUMMYFUNCTION("IMPORTRANGE(""https://docs.google.com/spreadsheets/d/1IYY_tgx_IHuhSq3AJ5eI5OnqOPBNLWSHKh2a30DoXe8/edit?usp=sharing"",""กระบี่!M492"")"),2600)</f>
        <v>2600</v>
      </c>
      <c r="O597" s="418">
        <f t="shared" ref="O597:O601" ca="1" si="126">+IF(L597&gt;0,N597*100/L597,0)</f>
        <v>9.946442234123948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IFERROR(__xludf.DUMMYFUNCTION("IMPORTRANGE(""https://docs.google.com/spreadsheets/d/1IYY_tgx_IHuhSq3AJ5eI5OnqOPBNLWSHKh2a30DoXe8/edit?usp=sharing"",""กระบี่!L493"")"),0)</f>
        <v>0</v>
      </c>
      <c r="M598" s="168"/>
      <c r="N598" s="175">
        <f ca="1">IFERROR(__xludf.DUMMYFUNCTION("IMPORTRANGE(""https://docs.google.com/spreadsheets/d/1IYY_tgx_IHuhSq3AJ5eI5OnqOPBNLWSHKh2a30DoXe8/edit?usp=sharing"",""กระบี่!M493"")"),0)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IFERROR(__xludf.DUMMYFUNCTION("IMPORTRANGE(""https://docs.google.com/spreadsheets/d/1IYY_tgx_IHuhSq3AJ5eI5OnqOPBNLWSHKh2a30DoXe8/edit?usp=sharing"",""กระบี่!L494"")"),26140)</f>
        <v>26140</v>
      </c>
      <c r="M599" s="169"/>
      <c r="N599" s="175">
        <f ca="1">IFERROR(__xludf.DUMMYFUNCTION("IMPORTRANGE(""https://docs.google.com/spreadsheets/d/1IYY_tgx_IHuhSq3AJ5eI5OnqOPBNLWSHKh2a30DoXe8/edit?usp=sharing"",""กระบี่!M494"")"),2600)</f>
        <v>2600</v>
      </c>
      <c r="O599" s="175">
        <f t="shared" ca="1" si="126"/>
        <v>9.946442234123948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IFERROR(__xludf.DUMMYFUNCTION("IMPORTRANGE(""https://docs.google.com/spreadsheets/d/1IYY_tgx_IHuhSq3AJ5eI5OnqOPBNLWSHKh2a30DoXe8/edit?usp=sharing"",""กระบี่!L495"")"),0)</f>
        <v>0</v>
      </c>
      <c r="M600" s="175"/>
      <c r="N600" s="175">
        <f ca="1">IFERROR(__xludf.DUMMYFUNCTION("IMPORTRANGE(""https://docs.google.com/spreadsheets/d/1IYY_tgx_IHuhSq3AJ5eI5OnqOPBNLWSHKh2a30DoXe8/edit?usp=sharing"",""กระบี่!M495"")"),0)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IFERROR(__xludf.DUMMYFUNCTION("IMPORTRANGE(""https://docs.google.com/spreadsheets/d/1IYY_tgx_IHuhSq3AJ5eI5OnqOPBNLWSHKh2a30DoXe8/edit?usp=sharing"",""กระบี่!L496"")"),26140)</f>
        <v>26140</v>
      </c>
      <c r="M601" s="175"/>
      <c r="N601" s="175">
        <f ca="1">IFERROR(__xludf.DUMMYFUNCTION("IMPORTRANGE(""https://docs.google.com/spreadsheets/d/1IYY_tgx_IHuhSq3AJ5eI5OnqOPBNLWSHKh2a30DoXe8/edit?usp=sharing"",""กระบี่!M496"")"),2600)</f>
        <v>2600</v>
      </c>
      <c r="O601" s="175">
        <f t="shared" ca="1" si="126"/>
        <v>9.946442234123948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IFERROR(__xludf.DUMMYFUNCTION("IMPORTRANGE(""https://docs.google.com/spreadsheets/d/1IYY_tgx_IHuhSq3AJ5eI5OnqOPBNLWSHKh2a30DoXe8/edit?usp=sharing"",""กระบี่!M497"")"),0)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IFERROR(__xludf.DUMMYFUNCTION("IMPORTRANGE(""https://docs.google.com/spreadsheets/d/1IYY_tgx_IHuhSq3AJ5eI5OnqOPBNLWSHKh2a30DoXe8/edit?usp=sharing"",""กระบี่!M498"")"),0)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IFERROR(__xludf.DUMMYFUNCTION("IMPORTRANGE(""https://docs.google.com/spreadsheets/d/1IYY_tgx_IHuhSq3AJ5eI5OnqOPBNLWSHKh2a30DoXe8/edit?usp=sharing"",""กระบี่!M499"")"),0)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IFERROR(__xludf.DUMMYFUNCTION("IMPORTRANGE(""https://docs.google.com/spreadsheets/d/1IYY_tgx_IHuhSq3AJ5eI5OnqOPBNLWSHKh2a30DoXe8/edit?usp=sharing"",""กระบี่!M500"")"),2600)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IFERROR(__xludf.DUMMYFUNCTION("IMPORTRANGE(""https://docs.google.com/spreadsheets/d/1IYY_tgx_IHuhSq3AJ5eI5OnqOPBNLWSHKh2a30DoXe8/edit?usp=sharing"",""กระบี่!J502"")"),0)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IFERROR(__xludf.DUMMYFUNCTION("IMPORTRANGE(""https://docs.google.com/spreadsheets/d/1IYY_tgx_IHuhSq3AJ5eI5OnqOPBNLWSHKh2a30DoXe8/edit?usp=sharing"",""กระบี่!J503"")"),1)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IFERROR(__xludf.DUMMYFUNCTION("IMPORTRANGE(""https://docs.google.com/spreadsheets/d/1IYY_tgx_IHuhSq3AJ5eI5OnqOPBNLWSHKh2a30DoXe8/edit?usp=sharing"",""กระบี่!J166"")"),0)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IFERROR(__xludf.DUMMYFUNCTION("IMPORTRANGE(""https://docs.google.com/spreadsheets/d/1IYY_tgx_IHuhSq3AJ5eI5OnqOPBNLWSHKh2a30DoXe8/edit?usp=sharing"",""กระบี่!J166"")"),0)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IFERROR(__xludf.DUMMYFUNCTION("IMPORTRANGE(""https://docs.google.com/spreadsheets/d/1IYY_tgx_IHuhSq3AJ5eI5OnqOPBNLWSHKh2a30DoXe8/edit?usp=sharing"",""กระบี่!I506"")"),428)</f>
        <v>428</v>
      </c>
      <c r="J611" s="166">
        <f ca="1">IFERROR(__xludf.DUMMYFUNCTION("IMPORTRANGE(""https://docs.google.com/spreadsheets/d/1IYY_tgx_IHuhSq3AJ5eI5OnqOPBNLWSHKh2a30DoXe8/edit?usp=sharing"",""กระบี่!J506"")"),0)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IFERROR(__xludf.DUMMYFUNCTION("IMPORTRANGE(""https://docs.google.com/spreadsheets/d/1IYY_tgx_IHuhSq3AJ5eI5OnqOPBNLWSHKh2a30DoXe8/edit?usp=sharing"",""กระบี่!I507"")"),0)</f>
        <v>0</v>
      </c>
      <c r="J612" s="204">
        <f ca="1">IFERROR(__xludf.DUMMYFUNCTION("IMPORTRANGE(""https://docs.google.com/spreadsheets/d/1IYY_tgx_IHuhSq3AJ5eI5OnqOPBNLWSHKh2a30DoXe8/edit?usp=sharing"",""กระบี่!J507"")"),0)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IFERROR(__xludf.DUMMYFUNCTION("IMPORTRANGE(""https://docs.google.com/spreadsheets/d/1IYY_tgx_IHuhSq3AJ5eI5OnqOPBNLWSHKh2a30DoXe8/edit?usp=sharing"",""กระบี่!I508"")"),0)</f>
        <v>0</v>
      </c>
      <c r="J613" s="204">
        <f ca="1">IFERROR(__xludf.DUMMYFUNCTION("IMPORTRANGE(""https://docs.google.com/spreadsheets/d/1IYY_tgx_IHuhSq3AJ5eI5OnqOPBNLWSHKh2a30DoXe8/edit?usp=sharing"",""กระบี่!J508"")"),0)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IFERROR(__xludf.DUMMYFUNCTION("IMPORTRANGE(""https://docs.google.com/spreadsheets/d/1IYY_tgx_IHuhSq3AJ5eI5OnqOPBNLWSHKh2a30DoXe8/edit?usp=sharing"",""กระบี่!I509"")"),0)</f>
        <v>0</v>
      </c>
      <c r="J614" s="204">
        <f ca="1">IFERROR(__xludf.DUMMYFUNCTION("IMPORTRANGE(""https://docs.google.com/spreadsheets/d/1IYY_tgx_IHuhSq3AJ5eI5OnqOPBNLWSHKh2a30DoXe8/edit?usp=sharing"",""กระบี่!J509"")"),0)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IFERROR(__xludf.DUMMYFUNCTION("IMPORTRANGE(""https://docs.google.com/spreadsheets/d/1IYY_tgx_IHuhSq3AJ5eI5OnqOPBNLWSHKh2a30DoXe8/edit?usp=sharing"",""กระบี่!I510"")"),0)</f>
        <v>0</v>
      </c>
      <c r="J615" s="204">
        <f ca="1">IFERROR(__xludf.DUMMYFUNCTION("IMPORTRANGE(""https://docs.google.com/spreadsheets/d/1IYY_tgx_IHuhSq3AJ5eI5OnqOPBNLWSHKh2a30DoXe8/edit?usp=sharing"",""กระบี่!J510"")"),0)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IFERROR(__xludf.DUMMYFUNCTION("IMPORTRANGE(""https://docs.google.com/spreadsheets/d/1IYY_tgx_IHuhSq3AJ5eI5OnqOPBNLWSHKh2a30DoXe8/edit?usp=sharing"",""กระบี่!I511"")"),0)</f>
        <v>0</v>
      </c>
      <c r="J616" s="204">
        <f ca="1">IFERROR(__xludf.DUMMYFUNCTION("IMPORTRANGE(""https://docs.google.com/spreadsheets/d/1IYY_tgx_IHuhSq3AJ5eI5OnqOPBNLWSHKh2a30DoXe8/edit?usp=sharing"",""กระบี่!J511"")"),0)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IFERROR(__xludf.DUMMYFUNCTION("IMPORTRANGE(""https://docs.google.com/spreadsheets/d/1IYY_tgx_IHuhSq3AJ5eI5OnqOPBNLWSHKh2a30DoXe8/edit?usp=sharing"",""กระบี่!I512"")"),0)</f>
        <v>0</v>
      </c>
      <c r="J617" s="194">
        <f ca="1">IFERROR(__xludf.DUMMYFUNCTION("IMPORTRANGE(""https://docs.google.com/spreadsheets/d/1IYY_tgx_IHuhSq3AJ5eI5OnqOPBNLWSHKh2a30DoXe8/edit?usp=sharing"",""กระบี่!J512"")"),0)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IFERROR(__xludf.DUMMYFUNCTION("IMPORTRANGE(""https://docs.google.com/spreadsheets/d/1IYY_tgx_IHuhSq3AJ5eI5OnqOPBNLWSHKh2a30DoXe8/edit?usp=sharing"",""กระบี่!I513"")"),0)</f>
        <v>0</v>
      </c>
      <c r="J618" s="195">
        <f ca="1">IFERROR(__xludf.DUMMYFUNCTION("IMPORTRANGE(""https://docs.google.com/spreadsheets/d/1IYY_tgx_IHuhSq3AJ5eI5OnqOPBNLWSHKh2a30DoXe8/edit?usp=sharing"",""กระบี่!J513"")"),0)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IFERROR(__xludf.DUMMYFUNCTION("IMPORTRANGE(""https://docs.google.com/spreadsheets/d/1IYY_tgx_IHuhSq3AJ5eI5OnqOPBNLWSHKh2a30DoXe8/edit?usp=sharing"",""กระบี่!I514"")"),0)</f>
        <v>0</v>
      </c>
      <c r="J619" s="195">
        <f ca="1">IFERROR(__xludf.DUMMYFUNCTION("IMPORTRANGE(""https://docs.google.com/spreadsheets/d/1IYY_tgx_IHuhSq3AJ5eI5OnqOPBNLWSHKh2a30DoXe8/edit?usp=sharing"",""กระบี่!J514"")"),0)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IFERROR(__xludf.DUMMYFUNCTION("IMPORTRANGE(""https://docs.google.com/spreadsheets/d/1IYY_tgx_IHuhSq3AJ5eI5OnqOPBNLWSHKh2a30DoXe8/edit?usp=sharing"",""กระบี่!I515"")"),0)</f>
        <v>0</v>
      </c>
      <c r="J620" s="209">
        <f ca="1">IFERROR(__xludf.DUMMYFUNCTION("IMPORTRANGE(""https://docs.google.com/spreadsheets/d/1IYY_tgx_IHuhSq3AJ5eI5OnqOPBNLWSHKh2a30DoXe8/edit?usp=sharing"",""กระบี่!J515"")"),0)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IFERROR(__xludf.DUMMYFUNCTION("IMPORTRANGE(""https://docs.google.com/spreadsheets/d/1IYY_tgx_IHuhSq3AJ5eI5OnqOPBNLWSHKh2a30DoXe8/edit?usp=sharing"",""กระบี่!I516"")"),0)</f>
        <v>0</v>
      </c>
      <c r="J621" s="209">
        <f ca="1">IFERROR(__xludf.DUMMYFUNCTION("IMPORTRANGE(""https://docs.google.com/spreadsheets/d/1IYY_tgx_IHuhSq3AJ5eI5OnqOPBNLWSHKh2a30DoXe8/edit?usp=sharing"",""กระบี่!J516"")"),0)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IFERROR(__xludf.DUMMYFUNCTION("IMPORTRANGE(""https://docs.google.com/spreadsheets/d/1IYY_tgx_IHuhSq3AJ5eI5OnqOPBNLWSHKh2a30DoXe8/edit?usp=sharing"",""กระบี่!I517"")"),0)</f>
        <v>0</v>
      </c>
      <c r="J622" s="195">
        <f ca="1">IFERROR(__xludf.DUMMYFUNCTION("IMPORTRANGE(""https://docs.google.com/spreadsheets/d/1IYY_tgx_IHuhSq3AJ5eI5OnqOPBNLWSHKh2a30DoXe8/edit?usp=sharing"",""กระบี่!J517"")"),0)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IFERROR(__xludf.DUMMYFUNCTION("IMPORTRANGE(""https://docs.google.com/spreadsheets/d/1IYY_tgx_IHuhSq3AJ5eI5OnqOPBNLWSHKh2a30DoXe8/edit?usp=sharing"",""กระบี่!I518"")"),0)</f>
        <v>0</v>
      </c>
      <c r="J623" s="195">
        <f ca="1">IFERROR(__xludf.DUMMYFUNCTION("IMPORTRANGE(""https://docs.google.com/spreadsheets/d/1IYY_tgx_IHuhSq3AJ5eI5OnqOPBNLWSHKh2a30DoXe8/edit?usp=sharing"",""กระบี่!J518"")"),0)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IFERROR(__xludf.DUMMYFUNCTION("IMPORTRANGE(""https://docs.google.com/spreadsheets/d/1IYY_tgx_IHuhSq3AJ5eI5OnqOPBNLWSHKh2a30DoXe8/edit?usp=sharing"",""กระบี่!I519"")"),0)</f>
        <v>0</v>
      </c>
      <c r="J624" s="194">
        <f ca="1">IFERROR(__xludf.DUMMYFUNCTION("IMPORTRANGE(""https://docs.google.com/spreadsheets/d/1IYY_tgx_IHuhSq3AJ5eI5OnqOPBNLWSHKh2a30DoXe8/edit?usp=sharing"",""กระบี่!J519"")"),0)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IFERROR(__xludf.DUMMYFUNCTION("IMPORTRANGE(""https://docs.google.com/spreadsheets/d/1IYY_tgx_IHuhSq3AJ5eI5OnqOPBNLWSHKh2a30DoXe8/edit?usp=sharing"",""กระบี่!I520"")"),0)</f>
        <v>0</v>
      </c>
      <c r="J625" s="195">
        <f ca="1">IFERROR(__xludf.DUMMYFUNCTION("IMPORTRANGE(""https://docs.google.com/spreadsheets/d/1IYY_tgx_IHuhSq3AJ5eI5OnqOPBNLWSHKh2a30DoXe8/edit?usp=sharing"",""กระบี่!J520"")"),0)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IFERROR(__xludf.DUMMYFUNCTION("IMPORTRANGE(""https://docs.google.com/spreadsheets/d/1IYY_tgx_IHuhSq3AJ5eI5OnqOPBNLWSHKh2a30DoXe8/edit?usp=sharing"",""กระบี่!I521"")"),0)</f>
        <v>0</v>
      </c>
      <c r="J626" s="195">
        <f ca="1">IFERROR(__xludf.DUMMYFUNCTION("IMPORTRANGE(""https://docs.google.com/spreadsheets/d/1IYY_tgx_IHuhSq3AJ5eI5OnqOPBNLWSHKh2a30DoXe8/edit?usp=sharing"",""กระบี่!J521"")"),0)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IFERROR(__xludf.DUMMYFUNCTION("IMPORTRANGE(""https://docs.google.com/spreadsheets/d/1IYY_tgx_IHuhSq3AJ5eI5OnqOPBNLWSHKh2a30DoXe8/edit?usp=sharing"",""กระบี่!I523"")"),220041)</f>
        <v>220041</v>
      </c>
      <c r="J628" s="347">
        <f ca="1">IFERROR(__xludf.DUMMYFUNCTION("IMPORTRANGE(""https://docs.google.com/spreadsheets/d/1IYY_tgx_IHuhSq3AJ5eI5OnqOPBNLWSHKh2a30DoXe8/edit?usp=sharing"",""กระบี่!J523"")"),205651.73)</f>
        <v>205651.73</v>
      </c>
      <c r="K628" s="348">
        <f t="shared" ref="K628:K635" ca="1" si="129">IF(I628&gt;0,J628*100/I628,0)</f>
        <v>93.46064142591608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IFERROR(__xludf.DUMMYFUNCTION("IMPORTRANGE(""https://docs.google.com/spreadsheets/d/1IYY_tgx_IHuhSq3AJ5eI5OnqOPBNLWSHKh2a30DoXe8/edit?usp=sharing"",""กระบี่!I524"")"),22)</f>
        <v>22</v>
      </c>
      <c r="J629" s="347">
        <f ca="1">IFERROR(__xludf.DUMMYFUNCTION("IMPORTRANGE(""https://docs.google.com/spreadsheets/d/1IYY_tgx_IHuhSq3AJ5eI5OnqOPBNLWSHKh2a30DoXe8/edit?usp=sharing"",""กระบี่!J524"")"),16)</f>
        <v>16</v>
      </c>
      <c r="K629" s="348">
        <f t="shared" ca="1" si="129"/>
        <v>72.727272727272734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IFERROR(__xludf.DUMMYFUNCTION("IMPORTRANGE(""https://docs.google.com/spreadsheets/d/1IYY_tgx_IHuhSq3AJ5eI5OnqOPBNLWSHKh2a30DoXe8/edit?usp=sharing"",""กระบี่!I525"")"),6396540.34)</f>
        <v>6396540.3399999999</v>
      </c>
      <c r="J630" s="347">
        <f ca="1">IFERROR(__xludf.DUMMYFUNCTION("IMPORTRANGE(""https://docs.google.com/spreadsheets/d/1IYY_tgx_IHuhSq3AJ5eI5OnqOPBNLWSHKh2a30DoXe8/edit?usp=sharing"",""กระบี่!J525"")"),1054202.8)</f>
        <v>1054202.8</v>
      </c>
      <c r="K630" s="348">
        <f t="shared" ca="1" si="129"/>
        <v>16.480827821997291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IFERROR(__xludf.DUMMYFUNCTION("IMPORTRANGE(""https://docs.google.com/spreadsheets/d/1IYY_tgx_IHuhSq3AJ5eI5OnqOPBNLWSHKh2a30DoXe8/edit?usp=sharing"",""กระบี่!I526"")"),176)</f>
        <v>176</v>
      </c>
      <c r="J631" s="347">
        <f ca="1">IFERROR(__xludf.DUMMYFUNCTION("IMPORTRANGE(""https://docs.google.com/spreadsheets/d/1IYY_tgx_IHuhSq3AJ5eI5OnqOPBNLWSHKh2a30DoXe8/edit?usp=sharing"",""กระบี่!J526"")"),97)</f>
        <v>97</v>
      </c>
      <c r="K631" s="348">
        <f t="shared" ca="1" si="129"/>
        <v>55.113636363636367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IFERROR(__xludf.DUMMYFUNCTION("IMPORTRANGE(""https://docs.google.com/spreadsheets/d/1IYY_tgx_IHuhSq3AJ5eI5OnqOPBNLWSHKh2a30DoXe8/edit?usp=sharing"",""กระบี่!I527"")"),0)</f>
        <v>0</v>
      </c>
      <c r="J632" s="347">
        <f ca="1">IFERROR(__xludf.DUMMYFUNCTION("IMPORTRANGE(""https://docs.google.com/spreadsheets/d/1IYY_tgx_IHuhSq3AJ5eI5OnqOPBNLWSHKh2a30DoXe8/edit?usp=sharing"",""กระบี่!J527"")"),38747.55)</f>
        <v>38747.550000000003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IFERROR(__xludf.DUMMYFUNCTION("IMPORTRANGE(""https://docs.google.com/spreadsheets/d/1IYY_tgx_IHuhSq3AJ5eI5OnqOPBNLWSHKh2a30DoXe8/edit?usp=sharing"",""กระบี่!I528"")"),0)</f>
        <v>0</v>
      </c>
      <c r="J633" s="347">
        <f ca="1">IFERROR(__xludf.DUMMYFUNCTION("IMPORTRANGE(""https://docs.google.com/spreadsheets/d/1IYY_tgx_IHuhSq3AJ5eI5OnqOPBNLWSHKh2a30DoXe8/edit?usp=sharing"",""กระบี่!J528"")"),9)</f>
        <v>9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IFERROR(__xludf.DUMMYFUNCTION("IMPORTRANGE(""https://docs.google.com/spreadsheets/d/1IYY_tgx_IHuhSq3AJ5eI5OnqOPBNLWSHKh2a30DoXe8/edit?usp=sharing"",""กระบี่!I529"")"),200000)</f>
        <v>200000</v>
      </c>
      <c r="J634" s="347">
        <f ca="1">IFERROR(__xludf.DUMMYFUNCTION("IMPORTRANGE(""https://docs.google.com/spreadsheets/d/1IYY_tgx_IHuhSq3AJ5eI5OnqOPBNLWSHKh2a30DoXe8/edit?usp=sharing"",""กระบี่!J529"")"),200000)</f>
        <v>200000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IFERROR(__xludf.DUMMYFUNCTION("IMPORTRANGE(""https://docs.google.com/spreadsheets/d/1IYY_tgx_IHuhSq3AJ5eI5OnqOPBNLWSHKh2a30DoXe8/edit?usp=sharing"",""กระบี่!I530"")"),4)</f>
        <v>4</v>
      </c>
      <c r="J635" s="517">
        <f ca="1">IFERROR(__xludf.DUMMYFUNCTION("IMPORTRANGE(""https://docs.google.com/spreadsheets/d/1IYY_tgx_IHuhSq3AJ5eI5OnqOPBNLWSHKh2a30DoXe8/edit?usp=sharing"",""กระบี่!J530"")"),4)</f>
        <v>4</v>
      </c>
      <c r="K635" s="492">
        <f t="shared" ca="1" si="129"/>
        <v>100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G4" sqref="G4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240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5741006.5600000005</v>
      </c>
      <c r="M8" s="23">
        <f t="shared" ca="1" si="0"/>
        <v>2989227.96</v>
      </c>
      <c r="N8" s="23">
        <f t="shared" ca="1" si="0"/>
        <v>2561961.5699999998</v>
      </c>
      <c r="O8" s="22">
        <f t="shared" ref="O8:O16" ca="1" si="1">IF(L8&gt;0,N8*100/L8,0)</f>
        <v>44.625651324808786</v>
      </c>
      <c r="P8" s="22">
        <f t="shared" ref="P8:P16" ca="1" si="2">IF(M8&gt;0,N8*100/M8,0)</f>
        <v>85.706463484303811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5741006.5600000005</v>
      </c>
      <c r="M10" s="30">
        <f t="shared" ca="1" si="4"/>
        <v>2989227.96</v>
      </c>
      <c r="N10" s="30">
        <f t="shared" ca="1" si="4"/>
        <v>2561961.5699999998</v>
      </c>
      <c r="O10" s="29">
        <f t="shared" ca="1" si="1"/>
        <v>44.625651324808786</v>
      </c>
      <c r="P10" s="29">
        <f t="shared" ca="1" si="2"/>
        <v>85.706463484303811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5648606.5600000005</v>
      </c>
      <c r="M12" s="38">
        <f t="shared" ca="1" si="6"/>
        <v>2896827.96</v>
      </c>
      <c r="N12" s="38">
        <f t="shared" ca="1" si="6"/>
        <v>2469561.5699999998</v>
      </c>
      <c r="O12" s="38">
        <f t="shared" ca="1" si="1"/>
        <v>43.719836808743842</v>
      </c>
      <c r="P12" s="38">
        <f t="shared" ca="1" si="2"/>
        <v>85.250543149272829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1691300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3957306.56</v>
      </c>
      <c r="M14" s="38">
        <f t="shared" si="8"/>
        <v>0</v>
      </c>
      <c r="N14" s="38">
        <f t="shared" ca="1" si="8"/>
        <v>793853.36</v>
      </c>
      <c r="O14" s="41">
        <f t="shared" ca="1" si="1"/>
        <v>20.060446365823122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92400</v>
      </c>
      <c r="M16" s="38">
        <f t="shared" ca="1" si="10"/>
        <v>92400</v>
      </c>
      <c r="N16" s="38">
        <f t="shared" ca="1" si="10"/>
        <v>92400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3657110</v>
      </c>
      <c r="M18" s="23">
        <f t="shared" ca="1" si="11"/>
        <v>2989227.96</v>
      </c>
      <c r="N18" s="23">
        <f t="shared" ca="1" si="11"/>
        <v>1768108.21</v>
      </c>
      <c r="O18" s="22">
        <f t="shared" ref="O18:O20" ca="1" si="12">IF(L18&gt;0,N18*100/L18,0)</f>
        <v>48.34714323605251</v>
      </c>
      <c r="P18" s="22">
        <f t="shared" ref="P18:P26" ca="1" si="13">IF(M18&gt;0,N18*100/M18,0)</f>
        <v>59.149326637504089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3657110</v>
      </c>
      <c r="M20" s="30">
        <f t="shared" ca="1" si="15"/>
        <v>2989227.96</v>
      </c>
      <c r="N20" s="30">
        <f t="shared" ca="1" si="15"/>
        <v>1768108.21</v>
      </c>
      <c r="O20" s="29">
        <f t="shared" ca="1" si="12"/>
        <v>48.34714323605251</v>
      </c>
      <c r="P20" s="29">
        <f t="shared" ca="1" si="13"/>
        <v>59.149326637504089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3564710</v>
      </c>
      <c r="M22" s="42">
        <f t="shared" ca="1" si="18"/>
        <v>2896827.96</v>
      </c>
      <c r="N22" s="41">
        <f t="shared" ca="1" si="18"/>
        <v>1675708.21</v>
      </c>
      <c r="O22" s="41">
        <f t="shared" ca="1" si="17"/>
        <v>47.008261822139808</v>
      </c>
      <c r="P22" s="41">
        <f t="shared" ca="1" si="13"/>
        <v>57.846314421792584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1691300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1873410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92400</v>
      </c>
      <c r="M26" s="50">
        <f t="shared" ca="1" si="22"/>
        <v>92400</v>
      </c>
      <c r="N26" s="50">
        <f t="shared" ca="1" si="22"/>
        <v>92400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2083896.56</v>
      </c>
      <c r="M28" s="23">
        <f t="shared" si="23"/>
        <v>0</v>
      </c>
      <c r="N28" s="23">
        <f t="shared" ca="1" si="23"/>
        <v>793853.36</v>
      </c>
      <c r="O28" s="22">
        <f t="shared" ref="O28:O30" ca="1" si="24">IF(L28&gt;0,N28*100/L28,0)</f>
        <v>38.094662433724636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2083896.56</v>
      </c>
      <c r="M30" s="30">
        <f t="shared" si="27"/>
        <v>0</v>
      </c>
      <c r="N30" s="30">
        <f t="shared" ca="1" si="27"/>
        <v>793853.36</v>
      </c>
      <c r="O30" s="29">
        <f t="shared" ca="1" si="24"/>
        <v>38.094662433724636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2083896.56</v>
      </c>
      <c r="M32" s="41">
        <f t="shared" si="30"/>
        <v>0</v>
      </c>
      <c r="N32" s="41">
        <f t="shared" ca="1" si="30"/>
        <v>793853.36</v>
      </c>
      <c r="O32" s="41">
        <f t="shared" ca="1" si="29"/>
        <v>38.094662433724636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2083896.56</v>
      </c>
      <c r="M34" s="41">
        <f t="shared" si="32"/>
        <v>0</v>
      </c>
      <c r="N34" s="41">
        <f t="shared" ca="1" si="32"/>
        <v>793853.36</v>
      </c>
      <c r="O34" s="41">
        <f t="shared" ca="1" si="29"/>
        <v>38.094662433724636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3657110</v>
      </c>
      <c r="M37" s="55">
        <f t="shared" ca="1" si="33"/>
        <v>2989227.96</v>
      </c>
      <c r="N37" s="55">
        <f t="shared" ca="1" si="33"/>
        <v>1768108.21</v>
      </c>
      <c r="O37" s="56">
        <f t="shared" ca="1" si="29"/>
        <v>48.34714323605251</v>
      </c>
      <c r="P37" s="56">
        <f t="shared" ca="1" si="25"/>
        <v>59.149326637504089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684100</v>
      </c>
      <c r="M41" s="79">
        <f t="shared" ca="1" si="34"/>
        <v>533000</v>
      </c>
      <c r="N41" s="79">
        <f t="shared" ca="1" si="34"/>
        <v>386364.11</v>
      </c>
      <c r="O41" s="78">
        <f t="shared" ref="O41:O43" ca="1" si="35">IF(L41&gt;0,N41*100/L41,0)</f>
        <v>56.477724016956586</v>
      </c>
      <c r="P41" s="78">
        <f t="shared" ref="P41:P43" ca="1" si="36">IF(M41&gt;0,N41*100/M41,0)</f>
        <v>72.488575984990618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684100</v>
      </c>
      <c r="M43" s="79">
        <f t="shared" ca="1" si="38"/>
        <v>533000</v>
      </c>
      <c r="N43" s="79">
        <f t="shared" ca="1" si="38"/>
        <v>386364.11</v>
      </c>
      <c r="O43" s="78">
        <f t="shared" ca="1" si="35"/>
        <v>56.477724016956586</v>
      </c>
      <c r="P43" s="78">
        <f t="shared" ca="1" si="36"/>
        <v>72.488575984990618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684100</v>
      </c>
      <c r="M45" s="91">
        <f ca="1">IFERROR(__xludf.DUMMYFUNCTION("IMPORTRANGE(""https://docs.google.com/spreadsheets/d/1Yj_ptqi66GCucihVvJfMjLAmec39IyEx_6qawtMGysU/edit?usp=sharing"",""สบก!Q82"")"),533000)</f>
        <v>533000</v>
      </c>
      <c r="N45" s="91">
        <f ca="1">IFERROR(__xludf.DUMMYFUNCTION("IMPORTRANGE(""https://docs.google.com/spreadsheets/d/1Yj_ptqi66GCucihVvJfMjLAmec39IyEx_6qawtMGysU/edit?usp=sharing"",""สบก!R82"")"),386364.11)</f>
        <v>386364.11</v>
      </c>
      <c r="O45" s="92">
        <f ca="1">IF(L45&gt;0,N45*100/L45,0)</f>
        <v>56.477724016956586</v>
      </c>
      <c r="P45" s="92">
        <f ca="1">IF(M45&gt;0,N45*100/M45,0)</f>
        <v>72.488575984990618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IFERROR(__xludf.DUMMYFUNCTION("IMPORTRANGE(""https://docs.google.com/spreadsheets/d/1Yj_ptqi66GCucihVvJfMjLAmec39IyEx_6qawtMGysU/edit?usp=sharing"",""สบก!M82"")"),684100)</f>
        <v>684100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IFERROR(__xludf.DUMMYFUNCTION("IMPORTRANGE(""https://docs.google.com/spreadsheets/d/1Yj_ptqi66GCucihVvJfMjLAmec39IyEx_6qawtMGysU/edit?usp=sharing"",""สบก!N82"")"),0)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IFERROR(__xludf.DUMMYFUNCTION("IMPORTRANGE(""https://docs.google.com/spreadsheets/d/1Yj_ptqi66GCucihVvJfMjLAmec39IyEx_6qawtMGysU/edit?usp=sharing"",""สบก!O82"")"),0)</f>
        <v>0</v>
      </c>
      <c r="M49" s="101"/>
      <c r="N49" s="91">
        <f ca="1">IFERROR(__xludf.DUMMYFUNCTION("IMPORTRANGE(""https://docs.google.com/spreadsheets/d/1Yj_ptqi66GCucihVvJfMjLAmec39IyEx_6qawtMGysU/edit?usp=sharing"",""สบก!S82"")"),0)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500000</v>
      </c>
      <c r="M53" s="125">
        <f t="shared" ca="1" si="39"/>
        <v>403332.96</v>
      </c>
      <c r="N53" s="125">
        <f t="shared" ca="1" si="39"/>
        <v>371997.74</v>
      </c>
      <c r="O53" s="124">
        <f t="shared" ref="O53:O55" ca="1" si="40">IF(L53&gt;0,N53*100/L53,0)</f>
        <v>74.399547999999996</v>
      </c>
      <c r="P53" s="124">
        <f t="shared" ref="P53:P55" ca="1" si="41">IF(M53&gt;0,N53*100/M53,0)</f>
        <v>92.230929998877343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500000</v>
      </c>
      <c r="M55" s="125">
        <f t="shared" ca="1" si="43"/>
        <v>403332.96</v>
      </c>
      <c r="N55" s="125">
        <f t="shared" ca="1" si="43"/>
        <v>371997.74</v>
      </c>
      <c r="O55" s="124">
        <f t="shared" ca="1" si="40"/>
        <v>74.399547999999996</v>
      </c>
      <c r="P55" s="124">
        <f t="shared" ca="1" si="41"/>
        <v>92.230929998877343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500000</v>
      </c>
      <c r="M57" s="91">
        <f ca="1">IFERROR(__xludf.DUMMYFUNCTION("IMPORTRANGE(""https://docs.google.com/spreadsheets/d/1Yj_ptqi66GCucihVvJfMjLAmec39IyEx_6qawtMGysU/edit?usp=sharing"",""สบก!Z82"")"),403332.96)</f>
        <v>403332.96</v>
      </c>
      <c r="N57" s="91">
        <f ca="1">IFERROR(__xludf.DUMMYFUNCTION("IMPORTRANGE(""https://docs.google.com/spreadsheets/d/1Yj_ptqi66GCucihVvJfMjLAmec39IyEx_6qawtMGysU/edit?usp=sharing"",""สบก!AA82"")"),371997.74)</f>
        <v>371997.74</v>
      </c>
      <c r="O57" s="92">
        <f ca="1">IF(L57&gt;0,N57*100/L57,0)</f>
        <v>74.399547999999996</v>
      </c>
      <c r="P57" s="92">
        <f ca="1">IF(M57&gt;0,N57*100/M57,0)</f>
        <v>92.230929998877343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IFERROR(__xludf.DUMMYFUNCTION("IMPORTRANGE(""https://docs.google.com/spreadsheets/d/1Yj_ptqi66GCucihVvJfMjLAmec39IyEx_6qawtMGysU/edit?usp=sharing"",""สบก!V82"")"),500000)</f>
        <v>500000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IFERROR(__xludf.DUMMYFUNCTION("IMPORTRANGE(""https://docs.google.com/spreadsheets/d/1Yj_ptqi66GCucihVvJfMjLAmec39IyEx_6qawtMGysU/edit?usp=sharing"",""สบก!W82"")"),0)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IFERROR(__xludf.DUMMYFUNCTION("IMPORTRANGE(""https://docs.google.com/spreadsheets/d/1Yj_ptqi66GCucihVvJfMjLAmec39IyEx_6qawtMGysU/edit?usp=sharing"",""สบก!X82"")"),0)</f>
        <v>0</v>
      </c>
      <c r="M61" s="101"/>
      <c r="N61" s="91">
        <f ca="1">IFERROR(__xludf.DUMMYFUNCTION("IMPORTRANGE(""https://docs.google.com/spreadsheets/d/1Yj_ptqi66GCucihVvJfMjLAmec39IyEx_6qawtMGysU/edit?usp=sharing"",""สบก!AB82"")"),0)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IFERROR(__xludf.DUMMYFUNCTION("IMPORTRANGE(""https://docs.google.com/spreadsheets/d/1IYY_tgx_IHuhSq3AJ5eI5OnqOPBNLWSHKh2a30DoXe8/edit?usp=sharing"",""ชุมพร!I9"")"),2)</f>
        <v>2</v>
      </c>
      <c r="J64" s="146">
        <f ca="1">IFERROR(__xludf.DUMMYFUNCTION("IMPORTRANGE(""https://docs.google.com/spreadsheets/d/1IYY_tgx_IHuhSq3AJ5eI5OnqOPBNLWSHKh2a30DoXe8/edit?usp=sharing"",""ชุมพร!J9"")"),2)</f>
        <v>2</v>
      </c>
      <c r="K64" s="147">
        <f t="shared" ref="K64:K65" ca="1" si="44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IFERROR(__xludf.DUMMYFUNCTION("IMPORTRANGE(""https://docs.google.com/spreadsheets/d/1IYY_tgx_IHuhSq3AJ5eI5OnqOPBNLWSHKh2a30DoXe8/edit?usp=sharing"",""ชุมพร!I10"")"),70)</f>
        <v>70</v>
      </c>
      <c r="J65" s="146">
        <f ca="1">IFERROR(__xludf.DUMMYFUNCTION("IMPORTRANGE(""https://docs.google.com/spreadsheets/d/1IYY_tgx_IHuhSq3AJ5eI5OnqOPBNLWSHKh2a30DoXe8/edit?usp=sharing"",""ชุมพร!J10"")"),70)</f>
        <v>70</v>
      </c>
      <c r="K65" s="147">
        <f t="shared" ca="1" si="44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780800</v>
      </c>
      <c r="M66" s="156">
        <f t="shared" ca="1" si="45"/>
        <v>669100</v>
      </c>
      <c r="N66" s="156">
        <f t="shared" ca="1" si="45"/>
        <v>251398.36</v>
      </c>
      <c r="O66" s="155">
        <f t="shared" ref="O66:O68" ca="1" si="46">IF(L66&gt;0,N66*100/L66,0)</f>
        <v>32.197535860655741</v>
      </c>
      <c r="P66" s="155">
        <f t="shared" ref="P66:P68" ca="1" si="47">IF(M66&gt;0,N66*100/M66,0)</f>
        <v>37.57261395904947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780800</v>
      </c>
      <c r="M68" s="161">
        <f t="shared" ca="1" si="49"/>
        <v>669100</v>
      </c>
      <c r="N68" s="161">
        <f t="shared" ca="1" si="49"/>
        <v>251398.36</v>
      </c>
      <c r="O68" s="160">
        <f t="shared" ca="1" si="46"/>
        <v>32.197535860655741</v>
      </c>
      <c r="P68" s="160">
        <f t="shared" ca="1" si="47"/>
        <v>37.57261395904947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780800</v>
      </c>
      <c r="M70" s="173">
        <f ca="1">IFERROR(__xludf.DUMMYFUNCTION("IMPORTRANGE(""https://docs.google.com/spreadsheets/d/1Yj_ptqi66GCucihVvJfMjLAmec39IyEx_6qawtMGysU/edit?usp=sharing"",""สบก!AI82"")"),669100)</f>
        <v>669100</v>
      </c>
      <c r="N70" s="174">
        <f ca="1">IFERROR(__xludf.DUMMYFUNCTION("IMPORTRANGE(""https://docs.google.com/spreadsheets/d/1Yj_ptqi66GCucihVvJfMjLAmec39IyEx_6qawtMGysU/edit?usp=sharing"",""สบก!AJ82"")"),251398.36)</f>
        <v>251398.36</v>
      </c>
      <c r="O70" s="175">
        <f ca="1">IF(L70&gt;0,N70*100/L70,0)</f>
        <v>32.197535860655741</v>
      </c>
      <c r="P70" s="175">
        <f ca="1">IF(M70&gt;0,N70*100/M70,0)</f>
        <v>37.57261395904947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IFERROR(__xludf.DUMMYFUNCTION("IMPORTRANGE(""https://docs.google.com/spreadsheets/d/1Yj_ptqi66GCucihVvJfMjLAmec39IyEx_6qawtMGysU/edit?usp=sharing"",""สบก!AE82"")"),180800)</f>
        <v>180800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IFERROR(__xludf.DUMMYFUNCTION("IMPORTRANGE(""https://docs.google.com/spreadsheets/d/1Yj_ptqi66GCucihVvJfMjLAmec39IyEx_6qawtMGysU/edit?usp=sharing"",""สบก!AF82"")"),600000)</f>
        <v>600000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IFERROR(__xludf.DUMMYFUNCTION("IMPORTRANGE(""https://docs.google.com/spreadsheets/d/1Yj_ptqi66GCucihVvJfMjLAmec39IyEx_6qawtMGysU/edit?usp=sharing"",""สบก!AG82"")"),0)</f>
        <v>0</v>
      </c>
      <c r="M74" s="101"/>
      <c r="N74" s="91">
        <f ca="1">IFERROR(__xludf.DUMMYFUNCTION("IMPORTRANGE(""https://docs.google.com/spreadsheets/d/1Yj_ptqi66GCucihVvJfMjLAmec39IyEx_6qawtMGysU/edit?usp=sharing"",""สบก!AK82"")"),0)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IFERROR(__xludf.DUMMYFUNCTION("IMPORTRANGE(""https://docs.google.com/spreadsheets/d/1IYY_tgx_IHuhSq3AJ5eI5OnqOPBNLWSHKh2a30DoXe8/edit?usp=sharing"",""ชุมพร!J16"")"),0)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IFERROR(__xludf.DUMMYFUNCTION("IMPORTRANGE(""https://docs.google.com/spreadsheets/d/1IYY_tgx_IHuhSq3AJ5eI5OnqOPBNLWSHKh2a30DoXe8/edit?usp=sharing"",""ชุมพร!J17"")"),1)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IFERROR(__xludf.DUMMYFUNCTION("IMPORTRANGE(""https://docs.google.com/spreadsheets/d/1IYY_tgx_IHuhSq3AJ5eI5OnqOPBNLWSHKh2a30DoXe8/edit?usp=sharing"",""ชุมพร!J18"")"),1)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IFERROR(__xludf.DUMMYFUNCTION("IMPORTRANGE(""https://docs.google.com/spreadsheets/d/1IYY_tgx_IHuhSq3AJ5eI5OnqOPBNLWSHKh2a30DoXe8/edit?usp=sharing"",""ชุมพร!J19"")"),1)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IFERROR(__xludf.DUMMYFUNCTION("IMPORTRANGE(""https://docs.google.com/spreadsheets/d/1IYY_tgx_IHuhSq3AJ5eI5OnqOPBNLWSHKh2a30DoXe8/edit?usp=sharing"",""ชุมพร!I20"")"),2)</f>
        <v>2</v>
      </c>
      <c r="J80" s="207">
        <f ca="1">IFERROR(__xludf.DUMMYFUNCTION("IMPORTRANGE(""https://docs.google.com/spreadsheets/d/1IYY_tgx_IHuhSq3AJ5eI5OnqOPBNLWSHKh2a30DoXe8/edit?usp=sharing"",""ชุมพร!J20"")"),2)</f>
        <v>2</v>
      </c>
      <c r="K80" s="208">
        <f t="shared" ref="K80:K88" ca="1" si="50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IFERROR(__xludf.DUMMYFUNCTION("IMPORTRANGE(""https://docs.google.com/spreadsheets/d/1IYY_tgx_IHuhSq3AJ5eI5OnqOPBNLWSHKh2a30DoXe8/edit?usp=sharing"",""ชุมพร!I21"")"),70)</f>
        <v>70</v>
      </c>
      <c r="J81" s="207">
        <f ca="1">IFERROR(__xludf.DUMMYFUNCTION("IMPORTRANGE(""https://docs.google.com/spreadsheets/d/1IYY_tgx_IHuhSq3AJ5eI5OnqOPBNLWSHKh2a30DoXe8/edit?usp=sharing"",""ชุมพร!J21"")"),70)</f>
        <v>70</v>
      </c>
      <c r="K81" s="208">
        <f t="shared" ca="1" si="50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IFERROR(__xludf.DUMMYFUNCTION("IMPORTRANGE(""https://docs.google.com/spreadsheets/d/1IYY_tgx_IHuhSq3AJ5eI5OnqOPBNLWSHKh2a30DoXe8/edit?usp=sharing"",""ชุมพร!I22"")"),0)</f>
        <v>0</v>
      </c>
      <c r="J82" s="210">
        <f ca="1">IFERROR(__xludf.DUMMYFUNCTION("IMPORTRANGE(""https://docs.google.com/spreadsheets/d/1IYY_tgx_IHuhSq3AJ5eI5OnqOPBNLWSHKh2a30DoXe8/edit?usp=sharing"",""ชุมพร!J22"")"),0)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IFERROR(__xludf.DUMMYFUNCTION("IMPORTRANGE(""https://docs.google.com/spreadsheets/d/1IYY_tgx_IHuhSq3AJ5eI5OnqOPBNLWSHKh2a30DoXe8/edit?usp=sharing"",""ชุมพร!I23"")"),0)</f>
        <v>0</v>
      </c>
      <c r="J83" s="210">
        <f ca="1">IFERROR(__xludf.DUMMYFUNCTION("IMPORTRANGE(""https://docs.google.com/spreadsheets/d/1IYY_tgx_IHuhSq3AJ5eI5OnqOPBNLWSHKh2a30DoXe8/edit?usp=sharing"",""ชุมพร!J23"")"),0)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IFERROR(__xludf.DUMMYFUNCTION("IMPORTRANGE(""https://docs.google.com/spreadsheets/d/1IYY_tgx_IHuhSq3AJ5eI5OnqOPBNLWSHKh2a30DoXe8/edit?usp=sharing"",""ชุมพร!I24"")"),0)</f>
        <v>0</v>
      </c>
      <c r="J84" s="195">
        <f ca="1">IFERROR(__xludf.DUMMYFUNCTION("IMPORTRANGE(""https://docs.google.com/spreadsheets/d/1IYY_tgx_IHuhSq3AJ5eI5OnqOPBNLWSHKh2a30DoXe8/edit?usp=sharing"",""ชุมพร!J24"")"),0)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IFERROR(__xludf.DUMMYFUNCTION("IMPORTRANGE(""https://docs.google.com/spreadsheets/d/1IYY_tgx_IHuhSq3AJ5eI5OnqOPBNLWSHKh2a30DoXe8/edit?usp=sharing"",""ชุมพร!I25"")"),0)</f>
        <v>0</v>
      </c>
      <c r="J85" s="195">
        <f ca="1">IFERROR(__xludf.DUMMYFUNCTION("IMPORTRANGE(""https://docs.google.com/spreadsheets/d/1IYY_tgx_IHuhSq3AJ5eI5OnqOPBNLWSHKh2a30DoXe8/edit?usp=sharing"",""ชุมพร!J25"")"),0)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IFERROR(__xludf.DUMMYFUNCTION("IMPORTRANGE(""https://docs.google.com/spreadsheets/d/1IYY_tgx_IHuhSq3AJ5eI5OnqOPBNLWSHKh2a30DoXe8/edit?usp=sharing"",""ชุมพร!I26"")"),2)</f>
        <v>2</v>
      </c>
      <c r="J86" s="210">
        <f ca="1">IFERROR(__xludf.DUMMYFUNCTION("IMPORTRANGE(""https://docs.google.com/spreadsheets/d/1IYY_tgx_IHuhSq3AJ5eI5OnqOPBNLWSHKh2a30DoXe8/edit?usp=sharing"",""ชุมพร!J26"")"),2)</f>
        <v>2</v>
      </c>
      <c r="K86" s="167">
        <f t="shared" ca="1" si="50"/>
        <v>100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IFERROR(__xludf.DUMMYFUNCTION("IMPORTRANGE(""https://docs.google.com/spreadsheets/d/1IYY_tgx_IHuhSq3AJ5eI5OnqOPBNLWSHKh2a30DoXe8/edit?usp=sharing"",""ชุมพร!I27"")"),70)</f>
        <v>70</v>
      </c>
      <c r="J87" s="210">
        <f ca="1">IFERROR(__xludf.DUMMYFUNCTION("IMPORTRANGE(""https://docs.google.com/spreadsheets/d/1IYY_tgx_IHuhSq3AJ5eI5OnqOPBNLWSHKh2a30DoXe8/edit?usp=sharing"",""ชุมพร!J27"")"),70)</f>
        <v>70</v>
      </c>
      <c r="K87" s="167">
        <f t="shared" ca="1" si="50"/>
        <v>100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IFERROR(__xludf.DUMMYFUNCTION("IMPORTRANGE(""https://docs.google.com/spreadsheets/d/1IYY_tgx_IHuhSq3AJ5eI5OnqOPBNLWSHKh2a30DoXe8/edit?usp=sharing"",""ชุมพร!I28"")"),0)</f>
        <v>0</v>
      </c>
      <c r="J88" s="210">
        <f ca="1">IFERROR(__xludf.DUMMYFUNCTION("IMPORTRANGE(""https://docs.google.com/spreadsheets/d/1IYY_tgx_IHuhSq3AJ5eI5OnqOPBNLWSHKh2a30DoXe8/edit?usp=sharing"",""ชุมพร!J28"")"),0)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IFERROR(__xludf.DUMMYFUNCTION("IMPORTRANGE(""https://docs.google.com/spreadsheets/d/1IYY_tgx_IHuhSq3AJ5eI5OnqOPBNLWSHKh2a30DoXe8/edit?usp=sharing"",""ชุมพร!J29"")"),0)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IFERROR(__xludf.DUMMYFUNCTION("IMPORTRANGE(""https://docs.google.com/spreadsheets/d/1IYY_tgx_IHuhSq3AJ5eI5OnqOPBNLWSHKh2a30DoXe8/edit?usp=sharing"",""ชุมพร!J30"")"),0)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IFERROR(__xludf.DUMMYFUNCTION("IMPORTRANGE(""https://docs.google.com/spreadsheets/d/1IYY_tgx_IHuhSq3AJ5eI5OnqOPBNLWSHKh2a30DoXe8/edit?usp=sharing"",""ชุมพร!I32"")"),4)</f>
        <v>4</v>
      </c>
      <c r="J92" s="146">
        <f ca="1">IFERROR(__xludf.DUMMYFUNCTION("IMPORTRANGE(""https://docs.google.com/spreadsheets/d/1IYY_tgx_IHuhSq3AJ5eI5OnqOPBNLWSHKh2a30DoXe8/edit?usp=sharing"",""ชุมพร!J32"")"),0)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IFERROR(__xludf.DUMMYFUNCTION("IMPORTRANGE(""https://docs.google.com/spreadsheets/d/1IYY_tgx_IHuhSq3AJ5eI5OnqOPBNLWSHKh2a30DoXe8/edit?usp=sharing"",""ชุมพร!I33"")"),1)</f>
        <v>1</v>
      </c>
      <c r="J93" s="146">
        <f ca="1">IFERROR(__xludf.DUMMYFUNCTION("IMPORTRANGE(""https://docs.google.com/spreadsheets/d/1IYY_tgx_IHuhSq3AJ5eI5OnqOPBNLWSHKh2a30DoXe8/edit?usp=sharing"",""ชุมพร!J33"")"),1)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103230</v>
      </c>
      <c r="O94" s="155">
        <f t="shared" ref="O94:O96" ca="1" si="53">IF(L94&gt;0,N94*100/L94,0)</f>
        <v>48.125874125874127</v>
      </c>
      <c r="P94" s="155">
        <f t="shared" ref="P94:P96" ca="1" si="54">IF(M94&gt;0,N94*100/M94,0)</f>
        <v>48.125874125874127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103230</v>
      </c>
      <c r="O96" s="160">
        <f t="shared" ca="1" si="53"/>
        <v>48.125874125874127</v>
      </c>
      <c r="P96" s="160">
        <f t="shared" ca="1" si="54"/>
        <v>48.125874125874127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IFERROR(__xludf.DUMMYFUNCTION("IMPORTRANGE(""https://docs.google.com/spreadsheets/d/1Yj_ptqi66GCucihVvJfMjLAmec39IyEx_6qawtMGysU/edit?usp=sharing"",""สบก!AR82"")"),122100)</f>
        <v>122100</v>
      </c>
      <c r="N98" s="174">
        <f ca="1">IFERROR(__xludf.DUMMYFUNCTION("IMPORTRANGE(""https://docs.google.com/spreadsheets/d/1Yj_ptqi66GCucihVvJfMjLAmec39IyEx_6qawtMGysU/edit?usp=sharing"",""สบก!AS82"")"),10830)</f>
        <v>10830</v>
      </c>
      <c r="O98" s="175">
        <f ca="1">IF(L98&gt;0,N98*100/L98,0)</f>
        <v>8.8697788697788695</v>
      </c>
      <c r="P98" s="175">
        <f ca="1">IF(M98&gt;0,N98*100/M98,0)</f>
        <v>8.8697788697788695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IFERROR(__xludf.DUMMYFUNCTION("IMPORTRANGE(""https://docs.google.com/spreadsheets/d/1Yj_ptqi66GCucihVvJfMjLAmec39IyEx_6qawtMGysU/edit?usp=sharing"",""สบก!AN82"")"),0)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IFERROR(__xludf.DUMMYFUNCTION("IMPORTRANGE(""https://docs.google.com/spreadsheets/d/1Yj_ptqi66GCucihVvJfMjLAmec39IyEx_6qawtMGysU/edit?usp=sharing"",""สบก!AO82"")"),122100)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IFERROR(__xludf.DUMMYFUNCTION("IMPORTRANGE(""https://docs.google.com/spreadsheets/d/1Yj_ptqi66GCucihVvJfMjLAmec39IyEx_6qawtMGysU/edit?usp=sharing"",""สบก!AP82"")"),92400)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IFERROR(__xludf.DUMMYFUNCTION("IMPORTRANGE(""https://docs.google.com/spreadsheets/d/1Yj_ptqi66GCucihVvJfMjLAmec39IyEx_6qawtMGysU/edit?usp=sharing"",""สบก!AT82"")"),92400)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IFERROR(__xludf.DUMMYFUNCTION("IMPORTRANGE(""https://docs.google.com/spreadsheets/d/1IYY_tgx_IHuhSq3AJ5eI5OnqOPBNLWSHKh2a30DoXe8/edit?usp=sharing"",""ชุมพร!J39"")"),0)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IFERROR(__xludf.DUMMYFUNCTION("IMPORTRANGE(""https://docs.google.com/spreadsheets/d/1IYY_tgx_IHuhSq3AJ5eI5OnqOPBNLWSHKh2a30DoXe8/edit?usp=sharing"",""ชุมพร!J40"")"),1)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IFERROR(__xludf.DUMMYFUNCTION("IMPORTRANGE(""https://docs.google.com/spreadsheets/d/1IYY_tgx_IHuhSq3AJ5eI5OnqOPBNLWSHKh2a30DoXe8/edit?usp=sharing"",""ชุมพร!J41"")"),1)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IFERROR(__xludf.DUMMYFUNCTION("IMPORTRANGE(""https://docs.google.com/spreadsheets/d/1IYY_tgx_IHuhSq3AJ5eI5OnqOPBNLWSHKh2a30DoXe8/edit?usp=sharing"",""ชุมพร!J42"")"),1)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IFERROR(__xludf.DUMMYFUNCTION("IMPORTRANGE(""https://docs.google.com/spreadsheets/d/1IYY_tgx_IHuhSq3AJ5eI5OnqOPBNLWSHKh2a30DoXe8/edit?usp=sharing"",""ชุมพร!I43"")"),1)</f>
        <v>1</v>
      </c>
      <c r="J108" s="210">
        <f ca="1">IFERROR(__xludf.DUMMYFUNCTION("IMPORTRANGE(""https://docs.google.com/spreadsheets/d/1IYY_tgx_IHuhSq3AJ5eI5OnqOPBNLWSHKh2a30DoXe8/edit?usp=sharing"",""ชุมพร!J43"")"),1)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IFERROR(__xludf.DUMMYFUNCTION("IMPORTRANGE(""https://docs.google.com/spreadsheets/d/1IYY_tgx_IHuhSq3AJ5eI5OnqOPBNLWSHKh2a30DoXe8/edit?usp=sharing"",""ชุมพร!I44"")"),4)</f>
        <v>4</v>
      </c>
      <c r="J109" s="210">
        <f ca="1">IFERROR(__xludf.DUMMYFUNCTION("IMPORTRANGE(""https://docs.google.com/spreadsheets/d/1IYY_tgx_IHuhSq3AJ5eI5OnqOPBNLWSHKh2a30DoXe8/edit?usp=sharing"",""ชุมพร!J44"")"),0)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IFERROR(__xludf.DUMMYFUNCTION("IMPORTRANGE(""https://docs.google.com/spreadsheets/d/1IYY_tgx_IHuhSq3AJ5eI5OnqOPBNLWSHKh2a30DoXe8/edit?usp=sharing"",""ชุมพร!I45"")"),4)</f>
        <v>4</v>
      </c>
      <c r="J110" s="210">
        <f ca="1">IFERROR(__xludf.DUMMYFUNCTION("IMPORTRANGE(""https://docs.google.com/spreadsheets/d/1IYY_tgx_IHuhSq3AJ5eI5OnqOPBNLWSHKh2a30DoXe8/edit?usp=sharing"",""ชุมพร!J45"")"),4)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IFERROR(__xludf.DUMMYFUNCTION("IMPORTRANGE(""https://docs.google.com/spreadsheets/d/1IYY_tgx_IHuhSq3AJ5eI5OnqOPBNLWSHKh2a30DoXe8/edit?usp=sharing"",""ชุมพร!I46"")"),4)</f>
        <v>4</v>
      </c>
      <c r="J111" s="210">
        <f ca="1">IFERROR(__xludf.DUMMYFUNCTION("IMPORTRANGE(""https://docs.google.com/spreadsheets/d/1IYY_tgx_IHuhSq3AJ5eI5OnqOPBNLWSHKh2a30DoXe8/edit?usp=sharing"",""ชุมพร!J46"")"),4)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IFERROR(__xludf.DUMMYFUNCTION("IMPORTRANGE(""https://docs.google.com/spreadsheets/d/1IYY_tgx_IHuhSq3AJ5eI5OnqOPBNLWSHKh2a30DoXe8/edit?usp=sharing"",""ชุมพร!I47"")"),4)</f>
        <v>4</v>
      </c>
      <c r="J112" s="210">
        <f ca="1">IFERROR(__xludf.DUMMYFUNCTION("IMPORTRANGE(""https://docs.google.com/spreadsheets/d/1IYY_tgx_IHuhSq3AJ5eI5OnqOPBNLWSHKh2a30DoXe8/edit?usp=sharing"",""ชุมพร!J47"")"),0)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IFERROR(__xludf.DUMMYFUNCTION("IMPORTRANGE(""https://docs.google.com/spreadsheets/d/1IYY_tgx_IHuhSq3AJ5eI5OnqOPBNLWSHKh2a30DoXe8/edit?usp=sharing"",""ชุมพร!I48"")"),1)</f>
        <v>1</v>
      </c>
      <c r="J113" s="210">
        <f ca="1">IFERROR(__xludf.DUMMYFUNCTION("IMPORTRANGE(""https://docs.google.com/spreadsheets/d/1IYY_tgx_IHuhSq3AJ5eI5OnqOPBNLWSHKh2a30DoXe8/edit?usp=sharing"",""ชุมพร!J48"")"),1)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IFERROR(__xludf.DUMMYFUNCTION("IMPORTRANGE(""https://docs.google.com/spreadsheets/d/1IYY_tgx_IHuhSq3AJ5eI5OnqOPBNLWSHKh2a30DoXe8/edit?usp=sharing"",""ชุมพร!J49"")"),0)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IFERROR(__xludf.DUMMYFUNCTION("IMPORTRANGE(""https://docs.google.com/spreadsheets/d/1IYY_tgx_IHuhSq3AJ5eI5OnqOPBNLWSHKh2a30DoXe8/edit?usp=sharing"",""ชุมพร!J50"")"),0)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IFERROR(__xludf.DUMMYFUNCTION("IMPORTRANGE(""https://docs.google.com/spreadsheets/d/1IYY_tgx_IHuhSq3AJ5eI5OnqOPBNLWSHKh2a30DoXe8/edit?usp=sharing"",""ชุมพร!I52"")"),15)</f>
        <v>15</v>
      </c>
      <c r="J117" s="146">
        <f ca="1">IFERROR(__xludf.DUMMYFUNCTION("IMPORTRANGE(""https://docs.google.com/spreadsheets/d/1IYY_tgx_IHuhSq3AJ5eI5OnqOPBNLWSHKh2a30DoXe8/edit?usp=sharing"",""ชุมพร!J52"")"),15)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32350</v>
      </c>
      <c r="O118" s="155">
        <f t="shared" ref="O118:O120" ca="1" si="59">IF(L118&gt;0,N118*100/L118,0)</f>
        <v>49.853598397287719</v>
      </c>
      <c r="P118" s="155">
        <f t="shared" ref="P118:P120" ca="1" si="60">IF(M118&gt;0,N118*100/M118,0)</f>
        <v>49.853598397287719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32350</v>
      </c>
      <c r="O120" s="160">
        <f t="shared" ca="1" si="59"/>
        <v>49.853598397287719</v>
      </c>
      <c r="P120" s="160">
        <f t="shared" ca="1" si="60"/>
        <v>49.853598397287719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IFERROR(__xludf.DUMMYFUNCTION("IMPORTRANGE(""https://docs.google.com/spreadsheets/d/1Yj_ptqi66GCucihVvJfMjLAmec39IyEx_6qawtMGysU/edit?usp=sharing"",""สบก!BA82"")"),64890)</f>
        <v>64890</v>
      </c>
      <c r="N122" s="174">
        <f ca="1">IFERROR(__xludf.DUMMYFUNCTION("IMPORTRANGE(""https://docs.google.com/spreadsheets/d/1Yj_ptqi66GCucihVvJfMjLAmec39IyEx_6qawtMGysU/edit?usp=sharing"",""สบก!BB82"")"),32350)</f>
        <v>32350</v>
      </c>
      <c r="O122" s="175">
        <f ca="1">IF(L122&gt;0,N122*100/L122,0)</f>
        <v>49.853598397287719</v>
      </c>
      <c r="P122" s="175">
        <f ca="1">IF(M122&gt;0,N122*100/M122,0)</f>
        <v>49.853598397287719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IFERROR(__xludf.DUMMYFUNCTION("IMPORTRANGE(""https://docs.google.com/spreadsheets/d/1Yj_ptqi66GCucihVvJfMjLAmec39IyEx_6qawtMGysU/edit?usp=sharing"",""สบก!AW82"")"),0)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IFERROR(__xludf.DUMMYFUNCTION("IMPORTRANGE(""https://docs.google.com/spreadsheets/d/1Yj_ptqi66GCucihVvJfMjLAmec39IyEx_6qawtMGysU/edit?usp=sharing"",""สบก!AX82"")"),64890)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IFERROR(__xludf.DUMMYFUNCTION("IMPORTRANGE(""https://docs.google.com/spreadsheets/d/1Yj_ptqi66GCucihVvJfMjLAmec39IyEx_6qawtMGysU/edit?usp=sharing"",""สบก!AY82"")"),0)</f>
        <v>0</v>
      </c>
      <c r="M126" s="101"/>
      <c r="N126" s="91">
        <f ca="1">IFERROR(__xludf.DUMMYFUNCTION("IMPORTRANGE(""https://docs.google.com/spreadsheets/d/1Yj_ptqi66GCucihVvJfMjLAmec39IyEx_6qawtMGysU/edit?usp=sharing"",""สบก!BC82"")"),0)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241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IFERROR(__xludf.DUMMYFUNCTION("IMPORTRANGE(""https://docs.google.com/spreadsheets/d/1IYY_tgx_IHuhSq3AJ5eI5OnqOPBNLWSHKh2a30DoXe8/edit?usp=sharing"",""ชุมพร!J58"")"),0)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IFERROR(__xludf.DUMMYFUNCTION("IMPORTRANGE(""https://docs.google.com/spreadsheets/d/1IYY_tgx_IHuhSq3AJ5eI5OnqOPBNLWSHKh2a30DoXe8/edit?usp=sharing"",""ชุมพร!J59"")"),1)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IFERROR(__xludf.DUMMYFUNCTION("IMPORTRANGE(""https://docs.google.com/spreadsheets/d/1IYY_tgx_IHuhSq3AJ5eI5OnqOPBNLWSHKh2a30DoXe8/edit?usp=sharing"",""ชุมพร!J60"")"),1)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IFERROR(__xludf.DUMMYFUNCTION("IMPORTRANGE(""https://docs.google.com/spreadsheets/d/1IYY_tgx_IHuhSq3AJ5eI5OnqOPBNLWSHKh2a30DoXe8/edit?usp=sharing"",""ชุมพร!J61"")"),1)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IFERROR(__xludf.DUMMYFUNCTION("IMPORTRANGE(""https://docs.google.com/spreadsheets/d/1IYY_tgx_IHuhSq3AJ5eI5OnqOPBNLWSHKh2a30DoXe8/edit?usp=sharing"",""ชุมพร!I62"")"),15)</f>
        <v>15</v>
      </c>
      <c r="J132" s="210">
        <f ca="1">IFERROR(__xludf.DUMMYFUNCTION("IMPORTRANGE(""https://docs.google.com/spreadsheets/d/1IYY_tgx_IHuhSq3AJ5eI5OnqOPBNLWSHKh2a30DoXe8/edit?usp=sharing"",""ชุมพร!J62"")"),15)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IFERROR(__xludf.DUMMYFUNCTION("IMPORTRANGE(""https://docs.google.com/spreadsheets/d/1IYY_tgx_IHuhSq3AJ5eI5OnqOPBNLWSHKh2a30DoXe8/edit?usp=sharing"",""ชุมพร!I63"")"),15)</f>
        <v>15</v>
      </c>
      <c r="J133" s="210">
        <f ca="1">IFERROR(__xludf.DUMMYFUNCTION("IMPORTRANGE(""https://docs.google.com/spreadsheets/d/1IYY_tgx_IHuhSq3AJ5eI5OnqOPBNLWSHKh2a30DoXe8/edit?usp=sharing"",""ชุมพร!J63"")"),15)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IFERROR(__xludf.DUMMYFUNCTION("IMPORTRANGE(""https://docs.google.com/spreadsheets/d/1IYY_tgx_IHuhSq3AJ5eI5OnqOPBNLWSHKh2a30DoXe8/edit?usp=sharing"",""ชุมพร!J64"")"),0)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IFERROR(__xludf.DUMMYFUNCTION("IMPORTRANGE(""https://docs.google.com/spreadsheets/d/1IYY_tgx_IHuhSq3AJ5eI5OnqOPBNLWSHKh2a30DoXe8/edit?usp=sharing"",""ชุมพร!J65"")"),0)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IFERROR(__xludf.DUMMYFUNCTION("IMPORTRANGE(""https://docs.google.com/spreadsheets/d/1IYY_tgx_IHuhSq3AJ5eI5OnqOPBNLWSHKh2a30DoXe8/edit?usp=sharing"",""ชุมพร!I68"")"),15)</f>
        <v>15</v>
      </c>
      <c r="J138" s="273">
        <f ca="1">IFERROR(__xludf.DUMMYFUNCTION("IMPORTRANGE(""https://docs.google.com/spreadsheets/d/1IYY_tgx_IHuhSq3AJ5eI5OnqOPBNLWSHKh2a30DoXe8/edit?usp=sharing"",""ชุมพร!J68"")"),15)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206500</v>
      </c>
      <c r="M140" s="156">
        <f t="shared" ca="1" si="64"/>
        <v>170625</v>
      </c>
      <c r="N140" s="156">
        <f t="shared" ca="1" si="64"/>
        <v>82559</v>
      </c>
      <c r="O140" s="155">
        <f t="shared" ref="O140:O142" ca="1" si="65">IF(L140&gt;0,N140*100/L140,0)</f>
        <v>39.980145278450365</v>
      </c>
      <c r="P140" s="155">
        <f t="shared" ref="P140:P142" ca="1" si="66">IF(M140&gt;0,N140*100/M140,0)</f>
        <v>48.386227106227103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206500</v>
      </c>
      <c r="M142" s="161">
        <f t="shared" ca="1" si="68"/>
        <v>170625</v>
      </c>
      <c r="N142" s="161">
        <f t="shared" ca="1" si="68"/>
        <v>82559</v>
      </c>
      <c r="O142" s="160">
        <f t="shared" ca="1" si="65"/>
        <v>39.980145278450365</v>
      </c>
      <c r="P142" s="160">
        <f t="shared" ca="1" si="66"/>
        <v>48.386227106227103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206500</v>
      </c>
      <c r="M144" s="173">
        <f ca="1">IFERROR(__xludf.DUMMYFUNCTION("IMPORTRANGE(""https://docs.google.com/spreadsheets/d/1Yj_ptqi66GCucihVvJfMjLAmec39IyEx_6qawtMGysU/edit?usp=sharing"",""สบก!BJ82"")"),170625)</f>
        <v>170625</v>
      </c>
      <c r="N144" s="174">
        <f ca="1">IFERROR(__xludf.DUMMYFUNCTION("IMPORTRANGE(""https://docs.google.com/spreadsheets/d/1Yj_ptqi66GCucihVvJfMjLAmec39IyEx_6qawtMGysU/edit?usp=sharing"",""สบก!BK82"")"),82559)</f>
        <v>82559</v>
      </c>
      <c r="O144" s="175">
        <f ca="1">IF(L144&gt;0,N144*100/L144,0)</f>
        <v>39.980145278450365</v>
      </c>
      <c r="P144" s="175">
        <f ca="1">IF(M144&gt;0,N144*100/M144,0)</f>
        <v>48.386227106227103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IFERROR(__xludf.DUMMYFUNCTION("IMPORTRANGE(""https://docs.google.com/spreadsheets/d/1Yj_ptqi66GCucihVvJfMjLAmec39IyEx_6qawtMGysU/edit?usp=sharing"",""สบก!BF82"")"),132000)</f>
        <v>132000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IFERROR(__xludf.DUMMYFUNCTION("IMPORTRANGE(""https://docs.google.com/spreadsheets/d/1Yj_ptqi66GCucihVvJfMjLAmec39IyEx_6qawtMGysU/edit?usp=sharing"",""สบก!BG82"")"),74500)</f>
        <v>74500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IFERROR(__xludf.DUMMYFUNCTION("IMPORTRANGE(""https://docs.google.com/spreadsheets/d/1Yj_ptqi66GCucihVvJfMjLAmec39IyEx_6qawtMGysU/edit?usp=sharing"",""สบก!BH82"")"),0)</f>
        <v>0</v>
      </c>
      <c r="M148" s="101"/>
      <c r="N148" s="91">
        <f ca="1">IFERROR(__xludf.DUMMYFUNCTION("IMPORTRANGE(""https://docs.google.com/spreadsheets/d/1Yj_ptqi66GCucihVvJfMjLAmec39IyEx_6qawtMGysU/edit?usp=sharing"",""สบก!BL82"")"),0)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IFERROR(__xludf.DUMMYFUNCTION("IMPORTRANGE(""https://docs.google.com/spreadsheets/d/1IYY_tgx_IHuhSq3AJ5eI5OnqOPBNLWSHKh2a30DoXe8/edit?usp=sharing"",""ชุมพร!I74"")"),4)</f>
        <v>4</v>
      </c>
      <c r="J149" s="281">
        <f ca="1">IFERROR(__xludf.DUMMYFUNCTION("IMPORTRANGE(""https://docs.google.com/spreadsheets/d/1IYY_tgx_IHuhSq3AJ5eI5OnqOPBNLWSHKh2a30DoXe8/edit?usp=sharing"",""ชุมพร!J74"")"),2)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IFERROR(__xludf.DUMMYFUNCTION("IMPORTRANGE(""https://docs.google.com/spreadsheets/d/1IYY_tgx_IHuhSq3AJ5eI5OnqOPBNLWSHKh2a30DoXe8/edit?usp=sharing"",""ชุมพร!J79"")"),0)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IFERROR(__xludf.DUMMYFUNCTION("IMPORTRANGE(""https://docs.google.com/spreadsheets/d/1IYY_tgx_IHuhSq3AJ5eI5OnqOPBNLWSHKh2a30DoXe8/edit?usp=sharing"",""ชุมพร!J80"")"),1)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IFERROR(__xludf.DUMMYFUNCTION("IMPORTRANGE(""https://docs.google.com/spreadsheets/d/1IYY_tgx_IHuhSq3AJ5eI5OnqOPBNLWSHKh2a30DoXe8/edit?usp=sharing"",""ชุมพร!J81"")"),1)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IFERROR(__xludf.DUMMYFUNCTION("IMPORTRANGE(""https://docs.google.com/spreadsheets/d/1IYY_tgx_IHuhSq3AJ5eI5OnqOPBNLWSHKh2a30DoXe8/edit?usp=sharing"",""ชุมพร!J82"")"),1)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IFERROR(__xludf.DUMMYFUNCTION("IMPORTRANGE(""https://docs.google.com/spreadsheets/d/1IYY_tgx_IHuhSq3AJ5eI5OnqOPBNLWSHKh2a30DoXe8/edit?usp=sharing"",""ชุมพร!I83"")"),4)</f>
        <v>4</v>
      </c>
      <c r="J158" s="195">
        <f ca="1">IFERROR(__xludf.DUMMYFUNCTION("IMPORTRANGE(""https://docs.google.com/spreadsheets/d/1IYY_tgx_IHuhSq3AJ5eI5OnqOPBNLWSHKh2a30DoXe8/edit?usp=sharing"",""ชุมพร!J83"")"),2)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IFERROR(__xludf.DUMMYFUNCTION("IMPORTRANGE(""https://docs.google.com/spreadsheets/d/1IYY_tgx_IHuhSq3AJ5eI5OnqOPBNLWSHKh2a30DoXe8/edit?usp=sharing"",""ชุมพร!J84"")"),95)</f>
        <v>95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IFERROR(__xludf.DUMMYFUNCTION("IMPORTRANGE(""https://docs.google.com/spreadsheets/d/1IYY_tgx_IHuhSq3AJ5eI5OnqOPBNLWSHKh2a30DoXe8/edit?usp=sharing"",""ชุมพร!J85"")"),95)</f>
        <v>95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IFERROR(__xludf.DUMMYFUNCTION("IMPORTRANGE(""https://docs.google.com/spreadsheets/d/1IYY_tgx_IHuhSq3AJ5eI5OnqOPBNLWSHKh2a30DoXe8/edit?usp=sharing"",""ชุมพร!J86"")"),0)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IFERROR(__xludf.DUMMYFUNCTION("IMPORTRANGE(""https://docs.google.com/spreadsheets/d/1IYY_tgx_IHuhSq3AJ5eI5OnqOPBNLWSHKh2a30DoXe8/edit?usp=sharing"",""ชุมพร!J87"")"),0)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IFERROR(__xludf.DUMMYFUNCTION("IMPORTRANGE(""https://docs.google.com/spreadsheets/d/1IYY_tgx_IHuhSq3AJ5eI5OnqOPBNLWSHKh2a30DoXe8/edit?usp=sharing"",""ชุมพร!J88"")"),0)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IFERROR(__xludf.DUMMYFUNCTION("IMPORTRANGE(""https://docs.google.com/spreadsheets/d/1IYY_tgx_IHuhSq3AJ5eI5OnqOPBNLWSHKh2a30DoXe8/edit?usp=sharing"",""ชุมพร!I89"")"),2)</f>
        <v>2</v>
      </c>
      <c r="J164" s="290">
        <f ca="1">IFERROR(__xludf.DUMMYFUNCTION("IMPORTRANGE(""https://docs.google.com/spreadsheets/d/1IYY_tgx_IHuhSq3AJ5eI5OnqOPBNLWSHKh2a30DoXe8/edit?usp=sharing"",""ชุมพร!J89"")"),0)</f>
        <v>0</v>
      </c>
      <c r="K164" s="291">
        <f ca="1">IF(I164&gt;0,J164*100/I164,0)</f>
        <v>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IFERROR(__xludf.DUMMYFUNCTION("IMPORTRANGE(""https://docs.google.com/spreadsheets/d/1IYY_tgx_IHuhSq3AJ5eI5OnqOPBNLWSHKh2a30DoXe8/edit?usp=sharing"",""ชุมพร!J94"")"),0)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IFERROR(__xludf.DUMMYFUNCTION("IMPORTRANGE(""https://docs.google.com/spreadsheets/d/1IYY_tgx_IHuhSq3AJ5eI5OnqOPBNLWSHKh2a30DoXe8/edit?usp=sharing"",""ชุมพร!J95"")"),1)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IFERROR(__xludf.DUMMYFUNCTION("IMPORTRANGE(""https://docs.google.com/spreadsheets/d/1IYY_tgx_IHuhSq3AJ5eI5OnqOPBNLWSHKh2a30DoXe8/edit?usp=sharing"",""ชุมพร!J96"")"),1)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IFERROR(__xludf.DUMMYFUNCTION("IMPORTRANGE(""https://docs.google.com/spreadsheets/d/1IYY_tgx_IHuhSq3AJ5eI5OnqOPBNLWSHKh2a30DoXe8/edit?usp=sharing"",""ชุมพร!J97"")"),1)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IFERROR(__xludf.DUMMYFUNCTION("IMPORTRANGE(""https://docs.google.com/spreadsheets/d/1IYY_tgx_IHuhSq3AJ5eI5OnqOPBNLWSHKh2a30DoXe8/edit?usp=sharing"",""ชุมพร!I98"")"),2)</f>
        <v>2</v>
      </c>
      <c r="J173" s="195">
        <f ca="1">IFERROR(__xludf.DUMMYFUNCTION("IMPORTRANGE(""https://docs.google.com/spreadsheets/d/1IYY_tgx_IHuhSq3AJ5eI5OnqOPBNLWSHKh2a30DoXe8/edit?usp=sharing"",""ชุมพร!J98"")"),0)</f>
        <v>0</v>
      </c>
      <c r="K173" s="167">
        <f ca="1">IF(I173&gt;0,J173*100/I173,0)</f>
        <v>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IFERROR(__xludf.DUMMYFUNCTION("IMPORTRANGE(""https://docs.google.com/spreadsheets/d/1IYY_tgx_IHuhSq3AJ5eI5OnqOPBNLWSHKh2a30DoXe8/edit?usp=sharing"",""ชุมพร!J99"")"),0)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IFERROR(__xludf.DUMMYFUNCTION("IMPORTRANGE(""https://docs.google.com/spreadsheets/d/1IYY_tgx_IHuhSq3AJ5eI5OnqOPBNLWSHKh2a30DoXe8/edit?usp=sharing"",""ชุมพร!J100"")"),0)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IFERROR(__xludf.DUMMYFUNCTION("IMPORTRANGE(""https://docs.google.com/spreadsheets/d/1IYY_tgx_IHuhSq3AJ5eI5OnqOPBNLWSHKh2a30DoXe8/edit?usp=sharing"",""ชุมพร!I101"")"),1)</f>
        <v>1</v>
      </c>
      <c r="J176" s="290">
        <f ca="1">IFERROR(__xludf.DUMMYFUNCTION("IMPORTRANGE(""https://docs.google.com/spreadsheets/d/1IYY_tgx_IHuhSq3AJ5eI5OnqOPBNLWSHKh2a30DoXe8/edit?usp=sharing"",""ชุมพร!J101"")"),1)</f>
        <v>1</v>
      </c>
      <c r="K176" s="291">
        <f ca="1">IF(I176&gt;0,J176*100/I176,0)</f>
        <v>100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IFERROR(__xludf.DUMMYFUNCTION("IMPORTRANGE(""https://docs.google.com/spreadsheets/d/1IYY_tgx_IHuhSq3AJ5eI5OnqOPBNLWSHKh2a30DoXe8/edit?usp=sharing"",""ชุมพร!J106"")"),0)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IFERROR(__xludf.DUMMYFUNCTION("IMPORTRANGE(""https://docs.google.com/spreadsheets/d/1IYY_tgx_IHuhSq3AJ5eI5OnqOPBNLWSHKh2a30DoXe8/edit?usp=sharing"",""ชุมพร!J107"")"),1)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IFERROR(__xludf.DUMMYFUNCTION("IMPORTRANGE(""https://docs.google.com/spreadsheets/d/1IYY_tgx_IHuhSq3AJ5eI5OnqOPBNLWSHKh2a30DoXe8/edit?usp=sharing"",""ชุมพร!J108"")"),1)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IFERROR(__xludf.DUMMYFUNCTION("IMPORTRANGE(""https://docs.google.com/spreadsheets/d/1IYY_tgx_IHuhSq3AJ5eI5OnqOPBNLWSHKh2a30DoXe8/edit?usp=sharing"",""ชุมพร!J109"")"),1)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IFERROR(__xludf.DUMMYFUNCTION("IMPORTRANGE(""https://docs.google.com/spreadsheets/d/1IYY_tgx_IHuhSq3AJ5eI5OnqOPBNLWSHKh2a30DoXe8/edit?usp=sharing"",""ชุมพร!I110"")"),1)</f>
        <v>1</v>
      </c>
      <c r="J185" s="210">
        <f ca="1">IFERROR(__xludf.DUMMYFUNCTION("IMPORTRANGE(""https://docs.google.com/spreadsheets/d/1IYY_tgx_IHuhSq3AJ5eI5OnqOPBNLWSHKh2a30DoXe8/edit?usp=sharing"",""ชุมพร!J110"")"),0)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IFERROR(__xludf.DUMMYFUNCTION("IMPORTRANGE(""https://docs.google.com/spreadsheets/d/1IYY_tgx_IHuhSq3AJ5eI5OnqOPBNLWSHKh2a30DoXe8/edit?usp=sharing"",""ชุมพร!I111"")"),1)</f>
        <v>1</v>
      </c>
      <c r="J186" s="210">
        <f ca="1">IFERROR(__xludf.DUMMYFUNCTION("IMPORTRANGE(""https://docs.google.com/spreadsheets/d/1IYY_tgx_IHuhSq3AJ5eI5OnqOPBNLWSHKh2a30DoXe8/edit?usp=sharing"",""ชุมพร!J111"")"),1)</f>
        <v>1</v>
      </c>
      <c r="K186" s="230">
        <f t="shared" ca="1" si="69"/>
        <v>100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IFERROR(__xludf.DUMMYFUNCTION("IMPORTRANGE(""https://docs.google.com/spreadsheets/d/1IYY_tgx_IHuhSq3AJ5eI5OnqOPBNLWSHKh2a30DoXe8/edit?usp=sharing"",""ชุมพร!J112"")"),0)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IFERROR(__xludf.DUMMYFUNCTION("IMPORTRANGE(""https://docs.google.com/spreadsheets/d/1IYY_tgx_IHuhSq3AJ5eI5OnqOPBNLWSHKh2a30DoXe8/edit?usp=sharing"",""ชุมพร!J113"")"),0)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IFERROR(__xludf.DUMMYFUNCTION("IMPORTRANGE(""https://docs.google.com/spreadsheets/d/1IYY_tgx_IHuhSq3AJ5eI5OnqOPBNLWSHKh2a30DoXe8/edit?usp=sharing"",""ชุมพร!I114"")"),20000)</f>
        <v>20000</v>
      </c>
      <c r="J189" s="290">
        <f ca="1">IFERROR(__xludf.DUMMYFUNCTION("IMPORTRANGE(""https://docs.google.com/spreadsheets/d/1IYY_tgx_IHuhSq3AJ5eI5OnqOPBNLWSHKh2a30DoXe8/edit?usp=sharing"",""ชุมพร!J114"")"),0)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IFERROR(__xludf.DUMMYFUNCTION("IMPORTRANGE(""https://docs.google.com/spreadsheets/d/1IYY_tgx_IHuhSq3AJ5eI5OnqOPBNLWSHKh2a30DoXe8/edit?usp=sharing"",""ชุมพร!J119"")"),0)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IFERROR(__xludf.DUMMYFUNCTION("IMPORTRANGE(""https://docs.google.com/spreadsheets/d/1IYY_tgx_IHuhSq3AJ5eI5OnqOPBNLWSHKh2a30DoXe8/edit?usp=sharing"",""ชุมพร!J120"")"),1)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IFERROR(__xludf.DUMMYFUNCTION("IMPORTRANGE(""https://docs.google.com/spreadsheets/d/1IYY_tgx_IHuhSq3AJ5eI5OnqOPBNLWSHKh2a30DoXe8/edit?usp=sharing"",""ชุมพร!J121"")"),1)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IFERROR(__xludf.DUMMYFUNCTION("IMPORTRANGE(""https://docs.google.com/spreadsheets/d/1IYY_tgx_IHuhSq3AJ5eI5OnqOPBNLWSHKh2a30DoXe8/edit?usp=sharing"",""ชุมพร!J122"")"),1)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IFERROR(__xludf.DUMMYFUNCTION("IMPORTRANGE(""https://docs.google.com/spreadsheets/d/1IYY_tgx_IHuhSq3AJ5eI5OnqOPBNLWSHKh2a30DoXe8/edit?usp=sharing"",""ชุมพร!I124"")"),20000)</f>
        <v>20000</v>
      </c>
      <c r="J199" s="195">
        <f ca="1">IFERROR(__xludf.DUMMYFUNCTION("IMPORTRANGE(""https://docs.google.com/spreadsheets/d/1IYY_tgx_IHuhSq3AJ5eI5OnqOPBNLWSHKh2a30DoXe8/edit?usp=sharing"",""ชุมพร!J124"")"),30000)</f>
        <v>30000</v>
      </c>
      <c r="K199" s="167">
        <f t="shared" ref="K199:K201" ca="1" si="70">IF(I199&gt;0,J199*100/I199,0)</f>
        <v>150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IFERROR(__xludf.DUMMYFUNCTION("IMPORTRANGE(""https://docs.google.com/spreadsheets/d/1IYY_tgx_IHuhSq3AJ5eI5OnqOPBNLWSHKh2a30DoXe8/edit?usp=sharing"",""ชุมพร!I125"")"),20000)</f>
        <v>20000</v>
      </c>
      <c r="J200" s="195">
        <f ca="1">IFERROR(__xludf.DUMMYFUNCTION("IMPORTRANGE(""https://docs.google.com/spreadsheets/d/1IYY_tgx_IHuhSq3AJ5eI5OnqOPBNLWSHKh2a30DoXe8/edit?usp=sharing"",""ชุมพร!J125"")"),0)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IFERROR(__xludf.DUMMYFUNCTION("IMPORTRANGE(""https://docs.google.com/spreadsheets/d/1IYY_tgx_IHuhSq3AJ5eI5OnqOPBNLWSHKh2a30DoXe8/edit?usp=sharing"",""ชุมพร!I126"")"),15)</f>
        <v>15</v>
      </c>
      <c r="J201" s="195">
        <f ca="1">IFERROR(__xludf.DUMMYFUNCTION("IMPORTRANGE(""https://docs.google.com/spreadsheets/d/1IYY_tgx_IHuhSq3AJ5eI5OnqOPBNLWSHKh2a30DoXe8/edit?usp=sharing"",""ชุมพร!J126"")"),15)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IFERROR(__xludf.DUMMYFUNCTION("IMPORTRANGE(""https://docs.google.com/spreadsheets/d/1IYY_tgx_IHuhSq3AJ5eI5OnqOPBNLWSHKh2a30DoXe8/edit?usp=sharing"",""ชุมพร!J127"")"),0)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IFERROR(__xludf.DUMMYFUNCTION("IMPORTRANGE(""https://docs.google.com/spreadsheets/d/1IYY_tgx_IHuhSq3AJ5eI5OnqOPBNLWSHKh2a30DoXe8/edit?usp=sharing"",""ชุมพร!J128"")"),0)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IFERROR(__xludf.DUMMYFUNCTION("IMPORTRANGE(""https://docs.google.com/spreadsheets/d/1IYY_tgx_IHuhSq3AJ5eI5OnqOPBNLWSHKh2a30DoXe8/edit?usp=sharing"",""ชุมพร!I129"")"),0)</f>
        <v>0</v>
      </c>
      <c r="J204" s="290">
        <f ca="1">IFERROR(__xludf.DUMMYFUNCTION("IMPORTRANGE(""https://docs.google.com/spreadsheets/d/1IYY_tgx_IHuhSq3AJ5eI5OnqOPBNLWSHKh2a30DoXe8/edit?usp=sharing"",""ชุมพร!J129"")"),0)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IFERROR(__xludf.DUMMYFUNCTION("IMPORTRANGE(""https://docs.google.com/spreadsheets/d/1IYY_tgx_IHuhSq3AJ5eI5OnqOPBNLWSHKh2a30DoXe8/edit?usp=sharing"",""ชุมพร!J134"")"),0)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IFERROR(__xludf.DUMMYFUNCTION("IMPORTRANGE(""https://docs.google.com/spreadsheets/d/1IYY_tgx_IHuhSq3AJ5eI5OnqOPBNLWSHKh2a30DoXe8/edit?usp=sharing"",""ชุมพร!J135"")"),0)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IFERROR(__xludf.DUMMYFUNCTION("IMPORTRANGE(""https://docs.google.com/spreadsheets/d/1IYY_tgx_IHuhSq3AJ5eI5OnqOPBNLWSHKh2a30DoXe8/edit?usp=sharing"",""ชุมพร!J136"")"),0)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IFERROR(__xludf.DUMMYFUNCTION("IMPORTRANGE(""https://docs.google.com/spreadsheets/d/1IYY_tgx_IHuhSq3AJ5eI5OnqOPBNLWSHKh2a30DoXe8/edit?usp=sharing"",""ชุมพร!J137"")"),0)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IFERROR(__xludf.DUMMYFUNCTION("IMPORTRANGE(""https://docs.google.com/spreadsheets/d/1IYY_tgx_IHuhSq3AJ5eI5OnqOPBNLWSHKh2a30DoXe8/edit?usp=sharing"",""ชุมพร!I138"")"),0)</f>
        <v>0</v>
      </c>
      <c r="J213" s="210">
        <f ca="1">IFERROR(__xludf.DUMMYFUNCTION("IMPORTRANGE(""https://docs.google.com/spreadsheets/d/1IYY_tgx_IHuhSq3AJ5eI5OnqOPBNLWSHKh2a30DoXe8/edit?usp=sharing"",""ชุมพร!J138"")"),0)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IFERROR(__xludf.DUMMYFUNCTION("IMPORTRANGE(""https://docs.google.com/spreadsheets/d/1IYY_tgx_IHuhSq3AJ5eI5OnqOPBNLWSHKh2a30DoXe8/edit?usp=sharing"",""ชุมพร!I140"")"),0)</f>
        <v>0</v>
      </c>
      <c r="J215" s="210">
        <f ca="1">IFERROR(__xludf.DUMMYFUNCTION("IMPORTRANGE(""https://docs.google.com/spreadsheets/d/1IYY_tgx_IHuhSq3AJ5eI5OnqOPBNLWSHKh2a30DoXe8/edit?usp=sharing"",""ชุมพร!J140"")"),0)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IFERROR(__xludf.DUMMYFUNCTION("IMPORTRANGE(""https://docs.google.com/spreadsheets/d/1IYY_tgx_IHuhSq3AJ5eI5OnqOPBNLWSHKh2a30DoXe8/edit?usp=sharing"",""ชุมพร!I141"")"),0)</f>
        <v>0</v>
      </c>
      <c r="J216" s="210">
        <f ca="1">IFERROR(__xludf.DUMMYFUNCTION("IMPORTRANGE(""https://docs.google.com/spreadsheets/d/1IYY_tgx_IHuhSq3AJ5eI5OnqOPBNLWSHKh2a30DoXe8/edit?usp=sharing"",""ชุมพร!J141"")"),0)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IFERROR(__xludf.DUMMYFUNCTION("IMPORTRANGE(""https://docs.google.com/spreadsheets/d/1IYY_tgx_IHuhSq3AJ5eI5OnqOPBNLWSHKh2a30DoXe8/edit?usp=sharing"",""ชุมพร!J142"")"),0)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IFERROR(__xludf.DUMMYFUNCTION("IMPORTRANGE(""https://docs.google.com/spreadsheets/d/1IYY_tgx_IHuhSq3AJ5eI5OnqOPBNLWSHKh2a30DoXe8/edit?usp=sharing"",""ชุมพร!J143"")"),0)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IFERROR(__xludf.DUMMYFUNCTION("IMPORTRANGE(""https://docs.google.com/spreadsheets/d/1IYY_tgx_IHuhSq3AJ5eI5OnqOPBNLWSHKh2a30DoXe8/edit?usp=sharing"",""ชุมพร!I144"")"),0)</f>
        <v>0</v>
      </c>
      <c r="J219" s="273">
        <f ca="1">IFERROR(__xludf.DUMMYFUNCTION("IMPORTRANGE(""https://docs.google.com/spreadsheets/d/1IYY_tgx_IHuhSq3AJ5eI5OnqOPBNLWSHKh2a30DoXe8/edit?usp=sharing"",""ชุมพร!J144"")"),0)</f>
        <v>0</v>
      </c>
      <c r="K219" s="274">
        <f ca="1">IF(I219&gt;0,J219*100/I219,0)</f>
        <v>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0</v>
      </c>
      <c r="M220" s="156">
        <f t="shared" ca="1" si="72"/>
        <v>0</v>
      </c>
      <c r="N220" s="156">
        <f t="shared" ca="1" si="72"/>
        <v>0</v>
      </c>
      <c r="O220" s="155">
        <f t="shared" ref="O220:O222" ca="1" si="73">IF(L220&gt;0,N220*100/L220,0)</f>
        <v>0</v>
      </c>
      <c r="P220" s="155">
        <f t="shared" ref="P220:P222" ca="1" si="74">IF(M220&gt;0,N220*100/M220,0)</f>
        <v>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0</v>
      </c>
      <c r="M222" s="161">
        <f t="shared" ca="1" si="76"/>
        <v>0</v>
      </c>
      <c r="N222" s="161">
        <f t="shared" ca="1" si="76"/>
        <v>0</v>
      </c>
      <c r="O222" s="160">
        <f t="shared" ca="1" si="73"/>
        <v>0</v>
      </c>
      <c r="P222" s="160">
        <f t="shared" ca="1" si="74"/>
        <v>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0</v>
      </c>
      <c r="M224" s="173">
        <f ca="1">IFERROR(__xludf.DUMMYFUNCTION("IMPORTRANGE(""https://docs.google.com/spreadsheets/d/1Yj_ptqi66GCucihVvJfMjLAmec39IyEx_6qawtMGysU/edit?usp=sharing"",""สบก!BS82"")"),0)</f>
        <v>0</v>
      </c>
      <c r="N224" s="174">
        <f ca="1">IFERROR(__xludf.DUMMYFUNCTION("IMPORTRANGE(""https://docs.google.com/spreadsheets/d/1Yj_ptqi66GCucihVvJfMjLAmec39IyEx_6qawtMGysU/edit?usp=sharing"",""สบก!BT82"")"),0)</f>
        <v>0</v>
      </c>
      <c r="O224" s="175">
        <f ca="1">IF(L224&gt;0,N224*100/L224,0)</f>
        <v>0</v>
      </c>
      <c r="P224" s="175">
        <f ca="1">IF(M224&gt;0,N224*100/M224,0)</f>
        <v>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IFERROR(__xludf.DUMMYFUNCTION("IMPORTRANGE(""https://docs.google.com/spreadsheets/d/1Yj_ptqi66GCucihVvJfMjLAmec39IyEx_6qawtMGysU/edit?usp=sharing"",""สบก!BO82"")"),0)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IFERROR(__xludf.DUMMYFUNCTION("IMPORTRANGE(""https://docs.google.com/spreadsheets/d/1Yj_ptqi66GCucihVvJfMjLAmec39IyEx_6qawtMGysU/edit?usp=sharing"",""สบก!BP82"")"),0)</f>
        <v>0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IFERROR(__xludf.DUMMYFUNCTION("IMPORTRANGE(""https://docs.google.com/spreadsheets/d/1Yj_ptqi66GCucihVvJfMjLAmec39IyEx_6qawtMGysU/edit?usp=sharing"",""สบก!BQ82"")"),0)</f>
        <v>0</v>
      </c>
      <c r="M228" s="101"/>
      <c r="N228" s="91">
        <f ca="1">IFERROR(__xludf.DUMMYFUNCTION("IMPORTRANGE(""https://docs.google.com/spreadsheets/d/1Yj_ptqi66GCucihVvJfMjLAmec39IyEx_6qawtMGysU/edit?usp=sharing"",""สบก!BU82"")"),0)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IFERROR(__xludf.DUMMYFUNCTION("IMPORTRANGE(""https://docs.google.com/spreadsheets/d/1IYY_tgx_IHuhSq3AJ5eI5OnqOPBNLWSHKh2a30DoXe8/edit?usp=sharing"",""ชุมพร!I149"")"),0)</f>
        <v>0</v>
      </c>
      <c r="J229" s="273">
        <f ca="1">IFERROR(__xludf.DUMMYFUNCTION("IMPORTRANGE(""https://docs.google.com/spreadsheets/d/1IYY_tgx_IHuhSq3AJ5eI5OnqOPBNLWSHKh2a30DoXe8/edit?usp=sharing"",""ชุมพร!J149"")"),0)</f>
        <v>0</v>
      </c>
      <c r="K229" s="274">
        <f ca="1">IF(I229&gt;0,J229*100/I229,0)</f>
        <v>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IFERROR(__xludf.DUMMYFUNCTION("IMPORTRANGE(""https://docs.google.com/spreadsheets/d/1IYY_tgx_IHuhSq3AJ5eI5OnqOPBNLWSHKh2a30DoXe8/edit?usp=sharing"",""ชุมพร!J151"")"),0)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IFERROR(__xludf.DUMMYFUNCTION("IMPORTRANGE(""https://docs.google.com/spreadsheets/d/1IYY_tgx_IHuhSq3AJ5eI5OnqOPBNLWSHKh2a30DoXe8/edit?usp=sharing"",""ชุมพร!J152"")"),0)</f>
        <v>0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IFERROR(__xludf.DUMMYFUNCTION("IMPORTRANGE(""https://docs.google.com/spreadsheets/d/1IYY_tgx_IHuhSq3AJ5eI5OnqOPBNLWSHKh2a30DoXe8/edit?usp=sharing"",""ชุมพร!J153"")"),0)</f>
        <v>0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IFERROR(__xludf.DUMMYFUNCTION("IMPORTRANGE(""https://docs.google.com/spreadsheets/d/1IYY_tgx_IHuhSq3AJ5eI5OnqOPBNLWSHKh2a30DoXe8/edit?usp=sharing"",""ชุมพร!J154"")"),0)</f>
        <v>0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IFERROR(__xludf.DUMMYFUNCTION("IMPORTRANGE(""https://docs.google.com/spreadsheets/d/1IYY_tgx_IHuhSq3AJ5eI5OnqOPBNLWSHKh2a30DoXe8/edit?usp=sharing"",""ชุมพร!I155"")"),0)</f>
        <v>0</v>
      </c>
      <c r="J235" s="195">
        <f ca="1">IFERROR(__xludf.DUMMYFUNCTION("IMPORTRANGE(""https://docs.google.com/spreadsheets/d/1IYY_tgx_IHuhSq3AJ5eI5OnqOPBNLWSHKh2a30DoXe8/edit?usp=sharing"",""ชุมพร!J155"")"),0)</f>
        <v>0</v>
      </c>
      <c r="K235" s="167">
        <f ca="1">IF(I235&gt;0,J235*100/I235,0)</f>
        <v>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IFERROR(__xludf.DUMMYFUNCTION("IMPORTRANGE(""https://docs.google.com/spreadsheets/d/1IYY_tgx_IHuhSq3AJ5eI5OnqOPBNLWSHKh2a30DoXe8/edit?usp=sharing"",""ชุมพร!J156"")"),0)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IFERROR(__xludf.DUMMYFUNCTION("IMPORTRANGE(""https://docs.google.com/spreadsheets/d/1IYY_tgx_IHuhSq3AJ5eI5OnqOPBNLWSHKh2a30DoXe8/edit?usp=sharing"",""ชุมพร!J157"")"),0)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IFERROR(__xludf.DUMMYFUNCTION("IMPORTRANGE(""https://docs.google.com/spreadsheets/d/1IYY_tgx_IHuhSq3AJ5eI5OnqOPBNLWSHKh2a30DoXe8/edit?usp=sharing"",""ชุมพร!I158"")"),0)</f>
        <v>0</v>
      </c>
      <c r="J238" s="273">
        <f ca="1">IFERROR(__xludf.DUMMYFUNCTION("IMPORTRANGE(""https://docs.google.com/spreadsheets/d/1IYY_tgx_IHuhSq3AJ5eI5OnqOPBNLWSHKh2a30DoXe8/edit?usp=sharing"",""ชุมพร!J158"")"),0)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IFERROR(__xludf.DUMMYFUNCTION("IMPORTRANGE(""https://docs.google.com/spreadsheets/d/1IYY_tgx_IHuhSq3AJ5eI5OnqOPBNLWSHKh2a30DoXe8/edit?usp=sharing"",""ชุมพร!J159"")"),"")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IFERROR(__xludf.DUMMYFUNCTION("IMPORTRANGE(""https://docs.google.com/spreadsheets/d/1IYY_tgx_IHuhSq3AJ5eI5OnqOPBNLWSHKh2a30DoXe8/edit?usp=sharing"",""ชุมพร!J161"")"),0)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IFERROR(__xludf.DUMMYFUNCTION("IMPORTRANGE(""https://docs.google.com/spreadsheets/d/1IYY_tgx_IHuhSq3AJ5eI5OnqOPBNLWSHKh2a30DoXe8/edit?usp=sharing"",""ชุมพร!J162"")"),0)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IFERROR(__xludf.DUMMYFUNCTION("IMPORTRANGE(""https://docs.google.com/spreadsheets/d/1IYY_tgx_IHuhSq3AJ5eI5OnqOPBNLWSHKh2a30DoXe8/edit?usp=sharing"",""ชุมพร!J163"")"),0)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IFERROR(__xludf.DUMMYFUNCTION("IMPORTRANGE(""https://docs.google.com/spreadsheets/d/1IYY_tgx_IHuhSq3AJ5eI5OnqOPBNLWSHKh2a30DoXe8/edit?usp=sharing"",""ชุมพร!I164"")"),0)</f>
        <v>0</v>
      </c>
      <c r="J244" s="194">
        <f ca="1">IFERROR(__xludf.DUMMYFUNCTION("IMPORTRANGE(""https://docs.google.com/spreadsheets/d/1IYY_tgx_IHuhSq3AJ5eI5OnqOPBNLWSHKh2a30DoXe8/edit?usp=sharing"",""ชุมพร!J164"")"),0)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IFERROR(__xludf.DUMMYFUNCTION("IMPORTRANGE(""https://docs.google.com/spreadsheets/d/1IYY_tgx_IHuhSq3AJ5eI5OnqOPBNLWSHKh2a30DoXe8/edit?usp=sharing"",""ชุมพร!J165"")"),0)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IFERROR(__xludf.DUMMYFUNCTION("IMPORTRANGE(""https://docs.google.com/spreadsheets/d/1IYY_tgx_IHuhSq3AJ5eI5OnqOPBNLWSHKh2a30DoXe8/edit?usp=sharing"",""ชุมพร!J166"")"),0)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IFERROR(__xludf.DUMMYFUNCTION("IMPORTRANGE(""https://docs.google.com/spreadsheets/d/1IYY_tgx_IHuhSq3AJ5eI5OnqOPBNLWSHKh2a30DoXe8/edit?usp=sharing"",""ชุมพร!I169"")"),20)</f>
        <v>20</v>
      </c>
      <c r="J249" s="322">
        <f ca="1">IFERROR(__xludf.DUMMYFUNCTION("IMPORTRANGE(""https://docs.google.com/spreadsheets/d/1IYY_tgx_IHuhSq3AJ5eI5OnqOPBNLWSHKh2a30DoXe8/edit?usp=sharing"",""ชุมพร!J169"")"),20)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42000</v>
      </c>
      <c r="N250" s="156">
        <f t="shared" ca="1" si="77"/>
        <v>10520</v>
      </c>
      <c r="O250" s="155">
        <f t="shared" ref="O250:O252" ca="1" si="78">IF(L250&gt;0,N250*100/L250,0)</f>
        <v>14.733893557422968</v>
      </c>
      <c r="P250" s="155">
        <f t="shared" ref="P250:P252" ca="1" si="79">IF(M250&gt;0,N250*100/M250,0)</f>
        <v>25.047619047619047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42000</v>
      </c>
      <c r="N252" s="161">
        <f t="shared" ca="1" si="81"/>
        <v>10520</v>
      </c>
      <c r="O252" s="160">
        <f t="shared" ca="1" si="78"/>
        <v>14.733893557422968</v>
      </c>
      <c r="P252" s="160">
        <f t="shared" ca="1" si="79"/>
        <v>25.047619047619047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IFERROR(__xludf.DUMMYFUNCTION("IMPORTRANGE(""https://docs.google.com/spreadsheets/d/1Yj_ptqi66GCucihVvJfMjLAmec39IyEx_6qawtMGysU/edit?usp=sharing"",""สบก!CB82"")"),42000)</f>
        <v>42000</v>
      </c>
      <c r="N254" s="174">
        <f ca="1">IFERROR(__xludf.DUMMYFUNCTION("IMPORTRANGE(""https://docs.google.com/spreadsheets/d/1Yj_ptqi66GCucihVvJfMjLAmec39IyEx_6qawtMGysU/edit?usp=sharing"",""สบก!CC82"")"),10520)</f>
        <v>10520</v>
      </c>
      <c r="O254" s="175">
        <f ca="1">IF(L254&gt;0,N254*100/L254,0)</f>
        <v>14.733893557422968</v>
      </c>
      <c r="P254" s="175">
        <f ca="1">IF(M254&gt;0,N254*100/M254,0)</f>
        <v>25.047619047619047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IFERROR(__xludf.DUMMYFUNCTION("IMPORTRANGE(""https://docs.google.com/spreadsheets/d/1Yj_ptqi66GCucihVvJfMjLAmec39IyEx_6qawtMGysU/edit?usp=sharing"",""สบก!BX82"")"),0)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IFERROR(__xludf.DUMMYFUNCTION("IMPORTRANGE(""https://docs.google.com/spreadsheets/d/1Yj_ptqi66GCucihVvJfMjLAmec39IyEx_6qawtMGysU/edit?usp=sharing"",""สบก!BY82"")"),71400)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IFERROR(__xludf.DUMMYFUNCTION("IMPORTRANGE(""https://docs.google.com/spreadsheets/d/1Yj_ptqi66GCucihVvJfMjLAmec39IyEx_6qawtMGysU/edit?usp=sharing"",""สบก!BZ82"")"),0)</f>
        <v>0</v>
      </c>
      <c r="M258" s="101"/>
      <c r="N258" s="91">
        <f ca="1">IFERROR(__xludf.DUMMYFUNCTION("IMPORTRANGE(""https://docs.google.com/spreadsheets/d/1Yj_ptqi66GCucihVvJfMjLAmec39IyEx_6qawtMGysU/edit?usp=sharing"",""สบก!CD82"")"),0)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IFERROR(__xludf.DUMMYFUNCTION("IMPORTRANGE(""https://docs.google.com/spreadsheets/d/1IYY_tgx_IHuhSq3AJ5eI5OnqOPBNLWSHKh2a30DoXe8/edit?usp=sharing"",""ชุมพร!J175"")"),0)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IFERROR(__xludf.DUMMYFUNCTION("IMPORTRANGE(""https://docs.google.com/spreadsheets/d/1IYY_tgx_IHuhSq3AJ5eI5OnqOPBNLWSHKh2a30DoXe8/edit?usp=sharing"",""ชุมพร!J176"")"),1)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IFERROR(__xludf.DUMMYFUNCTION("IMPORTRANGE(""https://docs.google.com/spreadsheets/d/1IYY_tgx_IHuhSq3AJ5eI5OnqOPBNLWSHKh2a30DoXe8/edit?usp=sharing"",""ชุมพร!J177"")"),1)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IFERROR(__xludf.DUMMYFUNCTION("IMPORTRANGE(""https://docs.google.com/spreadsheets/d/1IYY_tgx_IHuhSq3AJ5eI5OnqOPBNLWSHKh2a30DoXe8/edit?usp=sharing"",""ชุมพร!J178"")"),1)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IFERROR(__xludf.DUMMYFUNCTION("IMPORTRANGE(""https://docs.google.com/spreadsheets/d/1IYY_tgx_IHuhSq3AJ5eI5OnqOPBNLWSHKh2a30DoXe8/edit?usp=sharing"",""ชุมพร!I179"")"),1)</f>
        <v>1</v>
      </c>
      <c r="J264" s="195">
        <f ca="1">IFERROR(__xludf.DUMMYFUNCTION("IMPORTRANGE(""https://docs.google.com/spreadsheets/d/1IYY_tgx_IHuhSq3AJ5eI5OnqOPBNLWSHKh2a30DoXe8/edit?usp=sharing"",""ชุมพร!J179"")"),0)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IFERROR(__xludf.DUMMYFUNCTION("IMPORTRANGE(""https://docs.google.com/spreadsheets/d/1IYY_tgx_IHuhSq3AJ5eI5OnqOPBNLWSHKh2a30DoXe8/edit?usp=sharing"",""ชุมพร!I180"")"),20)</f>
        <v>20</v>
      </c>
      <c r="J265" s="195">
        <f ca="1">IFERROR(__xludf.DUMMYFUNCTION("IMPORTRANGE(""https://docs.google.com/spreadsheets/d/1IYY_tgx_IHuhSq3AJ5eI5OnqOPBNLWSHKh2a30DoXe8/edit?usp=sharing"",""ชุมพร!J180"")"),20)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IFERROR(__xludf.DUMMYFUNCTION("IMPORTRANGE(""https://docs.google.com/spreadsheets/d/1IYY_tgx_IHuhSq3AJ5eI5OnqOPBNLWSHKh2a30DoXe8/edit?usp=sharing"",""ชุมพร!I181"")"),20)</f>
        <v>20</v>
      </c>
      <c r="J266" s="195">
        <f ca="1">IFERROR(__xludf.DUMMYFUNCTION("IMPORTRANGE(""https://docs.google.com/spreadsheets/d/1IYY_tgx_IHuhSq3AJ5eI5OnqOPBNLWSHKh2a30DoXe8/edit?usp=sharing"",""ชุมพร!J181"")"),0)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IFERROR(__xludf.DUMMYFUNCTION("IMPORTRANGE(""https://docs.google.com/spreadsheets/d/1IYY_tgx_IHuhSq3AJ5eI5OnqOPBNLWSHKh2a30DoXe8/edit?usp=sharing"",""ชุมพร!I182"")"),1)</f>
        <v>1</v>
      </c>
      <c r="J267" s="195">
        <f ca="1">IFERROR(__xludf.DUMMYFUNCTION("IMPORTRANGE(""https://docs.google.com/spreadsheets/d/1IYY_tgx_IHuhSq3AJ5eI5OnqOPBNLWSHKh2a30DoXe8/edit?usp=sharing"",""ชุมพร!J182"")"),1)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IFERROR(__xludf.DUMMYFUNCTION("IMPORTRANGE(""https://docs.google.com/spreadsheets/d/1IYY_tgx_IHuhSq3AJ5eI5OnqOPBNLWSHKh2a30DoXe8/edit?usp=sharing"",""ชุมพร!J183"")"),0)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IFERROR(__xludf.DUMMYFUNCTION("IMPORTRANGE(""https://docs.google.com/spreadsheets/d/1IYY_tgx_IHuhSq3AJ5eI5OnqOPBNLWSHKh2a30DoXe8/edit?usp=sharing"",""ชุมพร!J184"")"),0)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IFERROR(__xludf.DUMMYFUNCTION("IMPORTRANGE(""https://docs.google.com/spreadsheets/d/1IYY_tgx_IHuhSq3AJ5eI5OnqOPBNLWSHKh2a30DoXe8/edit?usp=sharing"",""ชุมพร!I185"")"),20)</f>
        <v>20</v>
      </c>
      <c r="J270" s="322">
        <f ca="1">IFERROR(__xludf.DUMMYFUNCTION("IMPORTRANGE(""https://docs.google.com/spreadsheets/d/1IYY_tgx_IHuhSq3AJ5eI5OnqOPBNLWSHKh2a30DoXe8/edit?usp=sharing"",""ชุมพร!J185"")"),20)</f>
        <v>20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183600</v>
      </c>
      <c r="M271" s="156">
        <f t="shared" ca="1" si="83"/>
        <v>161600</v>
      </c>
      <c r="N271" s="156">
        <f t="shared" ca="1" si="83"/>
        <v>90255</v>
      </c>
      <c r="O271" s="155">
        <f t="shared" ref="O271:O273" ca="1" si="84">IF(L271&gt;0,N271*100/L271,0)</f>
        <v>49.158496732026144</v>
      </c>
      <c r="P271" s="155">
        <f t="shared" ref="P271:P273" ca="1" si="85">IF(M271&gt;0,N271*100/M271,0)</f>
        <v>55.850866336633665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183600</v>
      </c>
      <c r="M273" s="161">
        <f t="shared" ca="1" si="87"/>
        <v>161600</v>
      </c>
      <c r="N273" s="161">
        <f t="shared" ca="1" si="87"/>
        <v>90255</v>
      </c>
      <c r="O273" s="160">
        <f t="shared" ca="1" si="84"/>
        <v>49.158496732026144</v>
      </c>
      <c r="P273" s="160">
        <f t="shared" ca="1" si="85"/>
        <v>55.850866336633665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183600</v>
      </c>
      <c r="M275" s="173">
        <f ca="1">IFERROR(__xludf.DUMMYFUNCTION("IMPORTRANGE(""https://docs.google.com/spreadsheets/d/1Yj_ptqi66GCucihVvJfMjLAmec39IyEx_6qawtMGysU/edit?usp=sharing"",""สบก!CK82"")"),161600)</f>
        <v>161600</v>
      </c>
      <c r="N275" s="174">
        <f ca="1">IFERROR(__xludf.DUMMYFUNCTION("IMPORTRANGE(""https://docs.google.com/spreadsheets/d/1Yj_ptqi66GCucihVvJfMjLAmec39IyEx_6qawtMGysU/edit?usp=sharing"",""สบก!CL82"")"),90255)</f>
        <v>90255</v>
      </c>
      <c r="O275" s="175">
        <f ca="1">IF(L275&gt;0,N275*100/L275,0)</f>
        <v>49.158496732026144</v>
      </c>
      <c r="P275" s="175">
        <f ca="1">IF(M275&gt;0,N275*100/M275,0)</f>
        <v>55.850866336633665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IFERROR(__xludf.DUMMYFUNCTION("IMPORTRANGE(""https://docs.google.com/spreadsheets/d/1Yj_ptqi66GCucihVvJfMjLAmec39IyEx_6qawtMGysU/edit?usp=sharing"",""สบก!CG82"")"),0)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IFERROR(__xludf.DUMMYFUNCTION("IMPORTRANGE(""https://docs.google.com/spreadsheets/d/1Yj_ptqi66GCucihVvJfMjLAmec39IyEx_6qawtMGysU/edit?usp=sharing"",""สบก!CH82"")"),183600)</f>
        <v>183600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IFERROR(__xludf.DUMMYFUNCTION("IMPORTRANGE(""https://docs.google.com/spreadsheets/d/1Yj_ptqi66GCucihVvJfMjLAmec39IyEx_6qawtMGysU/edit?usp=sharing"",""สบก!CI82"")"),0)</f>
        <v>0</v>
      </c>
      <c r="M279" s="101"/>
      <c r="N279" s="91">
        <f ca="1">IFERROR(__xludf.DUMMYFUNCTION("IMPORTRANGE(""https://docs.google.com/spreadsheets/d/1Yj_ptqi66GCucihVvJfMjLAmec39IyEx_6qawtMGysU/edit?usp=sharing"",""สบก!CM82"")"),0)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IFERROR(__xludf.DUMMYFUNCTION("IMPORTRANGE(""https://docs.google.com/spreadsheets/d/1IYY_tgx_IHuhSq3AJ5eI5OnqOPBNLWSHKh2a30DoXe8/edit?usp=sharing"",""ชุมพร!J191"")"),0)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IFERROR(__xludf.DUMMYFUNCTION("IMPORTRANGE(""https://docs.google.com/spreadsheets/d/1IYY_tgx_IHuhSq3AJ5eI5OnqOPBNLWSHKh2a30DoXe8/edit?usp=sharing"",""ชุมพร!J192"")"),1)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IFERROR(__xludf.DUMMYFUNCTION("IMPORTRANGE(""https://docs.google.com/spreadsheets/d/1IYY_tgx_IHuhSq3AJ5eI5OnqOPBNLWSHKh2a30DoXe8/edit?usp=sharing"",""ชุมพร!J193"")"),1)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IFERROR(__xludf.DUMMYFUNCTION("IMPORTRANGE(""https://docs.google.com/spreadsheets/d/1IYY_tgx_IHuhSq3AJ5eI5OnqOPBNLWSHKh2a30DoXe8/edit?usp=sharing"",""ชุมพร!J194"")"),1)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IFERROR(__xludf.DUMMYFUNCTION("IMPORTRANGE(""https://docs.google.com/spreadsheets/d/1IYY_tgx_IHuhSq3AJ5eI5OnqOPBNLWSHKh2a30DoXe8/edit?usp=sharing"",""ชุมพร!I195"")"),20)</f>
        <v>20</v>
      </c>
      <c r="J285" s="195">
        <f ca="1">IFERROR(__xludf.DUMMYFUNCTION("IMPORTRANGE(""https://docs.google.com/spreadsheets/d/1IYY_tgx_IHuhSq3AJ5eI5OnqOPBNLWSHKh2a30DoXe8/edit?usp=sharing"",""ชุมพร!J195"")"),20)</f>
        <v>20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IFERROR(__xludf.DUMMYFUNCTION("IMPORTRANGE(""https://docs.google.com/spreadsheets/d/1IYY_tgx_IHuhSq3AJ5eI5OnqOPBNLWSHKh2a30DoXe8/edit?usp=sharing"",""ชุมพร!J196"")"),0)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IFERROR(__xludf.DUMMYFUNCTION("IMPORTRANGE(""https://docs.google.com/spreadsheets/d/1IYY_tgx_IHuhSq3AJ5eI5OnqOPBNLWSHKh2a30DoXe8/edit?usp=sharing"",""ชุมพร!J197"")"),0)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IFERROR(__xludf.DUMMYFUNCTION("IMPORTRANGE(""https://docs.google.com/spreadsheets/d/1IYY_tgx_IHuhSq3AJ5eI5OnqOPBNLWSHKh2a30DoXe8/edit?usp=sharing"",""ชุมพร!I199"")"),30)</f>
        <v>30</v>
      </c>
      <c r="J289" s="322">
        <f ca="1">IFERROR(__xludf.DUMMYFUNCTION("IMPORTRANGE(""https://docs.google.com/spreadsheets/d/1IYY_tgx_IHuhSq3AJ5eI5OnqOPBNLWSHKh2a30DoXe8/edit?usp=sharing"",""ชุมพร!J199"")"),30)</f>
        <v>30</v>
      </c>
      <c r="K289" s="323">
        <f ca="1">IF(I289&gt;0,J289*100/I289,0)</f>
        <v>100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95360</v>
      </c>
      <c r="M290" s="156">
        <f t="shared" ca="1" si="88"/>
        <v>95360</v>
      </c>
      <c r="N290" s="156">
        <f t="shared" ca="1" si="88"/>
        <v>88800</v>
      </c>
      <c r="O290" s="155">
        <f t="shared" ref="O290:O292" ca="1" si="89">IF(L290&gt;0,N290*100/L290,0)</f>
        <v>93.12080536912751</v>
      </c>
      <c r="P290" s="155">
        <f t="shared" ref="P290:P292" ca="1" si="90">IF(M290&gt;0,N290*100/M290,0)</f>
        <v>93.12080536912751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95360</v>
      </c>
      <c r="M292" s="161">
        <f t="shared" ca="1" si="92"/>
        <v>95360</v>
      </c>
      <c r="N292" s="161">
        <f t="shared" ca="1" si="92"/>
        <v>88800</v>
      </c>
      <c r="O292" s="160">
        <f t="shared" ca="1" si="89"/>
        <v>93.12080536912751</v>
      </c>
      <c r="P292" s="160">
        <f t="shared" ca="1" si="90"/>
        <v>93.12080536912751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95360</v>
      </c>
      <c r="M294" s="173">
        <f ca="1">IFERROR(__xludf.DUMMYFUNCTION("IMPORTRANGE(""https://docs.google.com/spreadsheets/d/1Yj_ptqi66GCucihVvJfMjLAmec39IyEx_6qawtMGysU/edit?usp=sharing"",""สบก!CT82"")"),95360)</f>
        <v>95360</v>
      </c>
      <c r="N294" s="174">
        <f ca="1">IFERROR(__xludf.DUMMYFUNCTION("IMPORTRANGE(""https://docs.google.com/spreadsheets/d/1Yj_ptqi66GCucihVvJfMjLAmec39IyEx_6qawtMGysU/edit?usp=sharing"",""สบก!CU82"")"),88800)</f>
        <v>88800</v>
      </c>
      <c r="O294" s="175">
        <f ca="1">IF(L294&gt;0,N294*100/L294,0)</f>
        <v>93.12080536912751</v>
      </c>
      <c r="P294" s="175">
        <f ca="1">IF(M294&gt;0,N294*100/M294,0)</f>
        <v>93.12080536912751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IFERROR(__xludf.DUMMYFUNCTION("IMPORTRANGE(""https://docs.google.com/spreadsheets/d/1Yj_ptqi66GCucihVvJfMjLAmec39IyEx_6qawtMGysU/edit?usp=sharing"",""สบก!CP82"")"),0)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IFERROR(__xludf.DUMMYFUNCTION("IMPORTRANGE(""https://docs.google.com/spreadsheets/d/1Yj_ptqi66GCucihVvJfMjLAmec39IyEx_6qawtMGysU/edit?usp=sharing"",""สบก!CQ82"")"),95360)</f>
        <v>95360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IFERROR(__xludf.DUMMYFUNCTION("IMPORTRANGE(""https://docs.google.com/spreadsheets/d/1Yj_ptqi66GCucihVvJfMjLAmec39IyEx_6qawtMGysU/edit?usp=sharing"",""สบก!CR82"")"),0)</f>
        <v>0</v>
      </c>
      <c r="M298" s="101"/>
      <c r="N298" s="91">
        <f ca="1">IFERROR(__xludf.DUMMYFUNCTION("IMPORTRANGE(""https://docs.google.com/spreadsheets/d/1Yj_ptqi66GCucihVvJfMjLAmec39IyEx_6qawtMGysU/edit?usp=sharing"",""สบก!CV82"")"),0)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IFERROR(__xludf.DUMMYFUNCTION("IMPORTRANGE(""https://docs.google.com/spreadsheets/d/1IYY_tgx_IHuhSq3AJ5eI5OnqOPBNLWSHKh2a30DoXe8/edit?usp=sharing"",""ชุมพร!J205"")"),0)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IFERROR(__xludf.DUMMYFUNCTION("IMPORTRANGE(""https://docs.google.com/spreadsheets/d/1IYY_tgx_IHuhSq3AJ5eI5OnqOPBNLWSHKh2a30DoXe8/edit?usp=sharing"",""ชุมพร!J206"")"),1)</f>
        <v>1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IFERROR(__xludf.DUMMYFUNCTION("IMPORTRANGE(""https://docs.google.com/spreadsheets/d/1IYY_tgx_IHuhSq3AJ5eI5OnqOPBNLWSHKh2a30DoXe8/edit?usp=sharing"",""ชุมพร!J207"")"),1)</f>
        <v>1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IFERROR(__xludf.DUMMYFUNCTION("IMPORTRANGE(""https://docs.google.com/spreadsheets/d/1IYY_tgx_IHuhSq3AJ5eI5OnqOPBNLWSHKh2a30DoXe8/edit?usp=sharing"",""ชุมพร!J208"")"),1)</f>
        <v>1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IFERROR(__xludf.DUMMYFUNCTION("IMPORTRANGE(""https://docs.google.com/spreadsheets/d/1IYY_tgx_IHuhSq3AJ5eI5OnqOPBNLWSHKh2a30DoXe8/edit?usp=sharing"",""ชุมพร!I209"")"),30)</f>
        <v>30</v>
      </c>
      <c r="J304" s="210">
        <f ca="1">IFERROR(__xludf.DUMMYFUNCTION("IMPORTRANGE(""https://docs.google.com/spreadsheets/d/1IYY_tgx_IHuhSq3AJ5eI5OnqOPBNLWSHKh2a30DoXe8/edit?usp=sharing"",""ชุมพร!J209"")"),30)</f>
        <v>30</v>
      </c>
      <c r="K304" s="230">
        <f ca="1">IF(I304&gt;0,J304*100/I304,0)</f>
        <v>100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IFERROR(__xludf.DUMMYFUNCTION("IMPORTRANGE(""https://docs.google.com/spreadsheets/d/1IYY_tgx_IHuhSq3AJ5eI5OnqOPBNLWSHKh2a30DoXe8/edit?usp=sharing"",""ชุมพร!I211"")"),30)</f>
        <v>30</v>
      </c>
      <c r="J306" s="210">
        <f ca="1">IFERROR(__xludf.DUMMYFUNCTION("IMPORTRANGE(""https://docs.google.com/spreadsheets/d/1IYY_tgx_IHuhSq3AJ5eI5OnqOPBNLWSHKh2a30DoXe8/edit?usp=sharing"",""ชุมพร!J211"")"),30)</f>
        <v>30</v>
      </c>
      <c r="K306" s="230">
        <f ca="1">IF(I306&gt;0,J306*100/I306,0)</f>
        <v>100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IFERROR(__xludf.DUMMYFUNCTION("IMPORTRANGE(""https://docs.google.com/spreadsheets/d/1IYY_tgx_IHuhSq3AJ5eI5OnqOPBNLWSHKh2a30DoXe8/edit?usp=sharing"",""ชุมพร!J212"")"),0)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IFERROR(__xludf.DUMMYFUNCTION("IMPORTRANGE(""https://docs.google.com/spreadsheets/d/1IYY_tgx_IHuhSq3AJ5eI5OnqOPBNLWSHKh2a30DoXe8/edit?usp=sharing"",""ชุมพร!J213"")"),0)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IFERROR(__xludf.DUMMYFUNCTION("IMPORTRANGE(""https://docs.google.com/spreadsheets/d/1IYY_tgx_IHuhSq3AJ5eI5OnqOPBNLWSHKh2a30DoXe8/edit?usp=sharing"",""ชุมพร!I214"")"),1)</f>
        <v>1</v>
      </c>
      <c r="J309" s="339">
        <f ca="1">IFERROR(__xludf.DUMMYFUNCTION("IMPORTRANGE(""https://docs.google.com/spreadsheets/d/1IYY_tgx_IHuhSq3AJ5eI5OnqOPBNLWSHKh2a30DoXe8/edit?usp=sharing"",""ชุมพร!J214"")"),1)</f>
        <v>1</v>
      </c>
      <c r="K309" s="340">
        <f ca="1">IF(I309&gt;0,J309*100/I309,0)</f>
        <v>100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231600</v>
      </c>
      <c r="M310" s="156">
        <f t="shared" ca="1" si="93"/>
        <v>173700</v>
      </c>
      <c r="N310" s="156">
        <f t="shared" ca="1" si="93"/>
        <v>100634</v>
      </c>
      <c r="O310" s="155">
        <f t="shared" ref="O310:O312" ca="1" si="94">IF(L310&gt;0,N310*100/L310,0)</f>
        <v>43.451640759930918</v>
      </c>
      <c r="P310" s="155">
        <f t="shared" ref="P310:P312" ca="1" si="95">IF(M310&gt;0,N310*100/M310,0)</f>
        <v>57.935521013241221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231600</v>
      </c>
      <c r="M312" s="161">
        <f t="shared" ca="1" si="97"/>
        <v>173700</v>
      </c>
      <c r="N312" s="161">
        <f t="shared" ca="1" si="97"/>
        <v>100634</v>
      </c>
      <c r="O312" s="160">
        <f t="shared" ca="1" si="94"/>
        <v>43.451640759930918</v>
      </c>
      <c r="P312" s="160">
        <f t="shared" ca="1" si="95"/>
        <v>57.935521013241221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231600</v>
      </c>
      <c r="M314" s="173">
        <f ca="1">IFERROR(__xludf.DUMMYFUNCTION("IMPORTRANGE(""https://docs.google.com/spreadsheets/d/1Yj_ptqi66GCucihVvJfMjLAmec39IyEx_6qawtMGysU/edit?usp=sharing"",""สบก!DC82"")"),173700)</f>
        <v>173700</v>
      </c>
      <c r="N314" s="174">
        <f ca="1">IFERROR(__xludf.DUMMYFUNCTION("IMPORTRANGE(""https://docs.google.com/spreadsheets/d/1Yj_ptqi66GCucihVvJfMjLAmec39IyEx_6qawtMGysU/edit?usp=sharing"",""สบก!DD82"")"),100634)</f>
        <v>100634</v>
      </c>
      <c r="O314" s="175">
        <f ca="1">IF(L314&gt;0,N314*100/L314,0)</f>
        <v>43.451640759930918</v>
      </c>
      <c r="P314" s="175">
        <f ca="1">IF(M314&gt;0,N314*100/M314,0)</f>
        <v>57.935521013241221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IFERROR(__xludf.DUMMYFUNCTION("IMPORTRANGE(""https://docs.google.com/spreadsheets/d/1Yj_ptqi66GCucihVvJfMjLAmec39IyEx_6qawtMGysU/edit?usp=sharing"",""สบก!CY82"")"),0)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IFERROR(__xludf.DUMMYFUNCTION("IMPORTRANGE(""https://docs.google.com/spreadsheets/d/1Yj_ptqi66GCucihVvJfMjLAmec39IyEx_6qawtMGysU/edit?usp=sharing"",""สบก!CZ82"")"),231600)</f>
        <v>231600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IFERROR(__xludf.DUMMYFUNCTION("IMPORTRANGE(""https://docs.google.com/spreadsheets/d/1Yj_ptqi66GCucihVvJfMjLAmec39IyEx_6qawtMGysU/edit?usp=sharing"",""สบก!DA82"")"),0)</f>
        <v>0</v>
      </c>
      <c r="M318" s="101"/>
      <c r="N318" s="91">
        <f ca="1">IFERROR(__xludf.DUMMYFUNCTION("IMPORTRANGE(""https://docs.google.com/spreadsheets/d/1Yj_ptqi66GCucihVvJfMjLAmec39IyEx_6qawtMGysU/edit?usp=sharing"",""สบก!DE82"")"),0)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IFERROR(__xludf.DUMMYFUNCTION("IMPORTRANGE(""https://docs.google.com/spreadsheets/d/1IYY_tgx_IHuhSq3AJ5eI5OnqOPBNLWSHKh2a30DoXe8/edit?usp=sharing"",""ชุมพร!J220"")"),0)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IFERROR(__xludf.DUMMYFUNCTION("IMPORTRANGE(""https://docs.google.com/spreadsheets/d/1IYY_tgx_IHuhSq3AJ5eI5OnqOPBNLWSHKh2a30DoXe8/edit?usp=sharing"",""ชุมพร!J221"")"),1)</f>
        <v>1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IFERROR(__xludf.DUMMYFUNCTION("IMPORTRANGE(""https://docs.google.com/spreadsheets/d/1IYY_tgx_IHuhSq3AJ5eI5OnqOPBNLWSHKh2a30DoXe8/edit?usp=sharing"",""ชุมพร!J222"")"),1)</f>
        <v>1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IFERROR(__xludf.DUMMYFUNCTION("IMPORTRANGE(""https://docs.google.com/spreadsheets/d/1IYY_tgx_IHuhSq3AJ5eI5OnqOPBNLWSHKh2a30DoXe8/edit?usp=sharing"",""ชุมพร!J223"")"),1)</f>
        <v>1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IFERROR(__xludf.DUMMYFUNCTION("IMPORTRANGE(""https://docs.google.com/spreadsheets/d/1IYY_tgx_IHuhSq3AJ5eI5OnqOPBNLWSHKh2a30DoXe8/edit?usp=sharing"",""ชุมพร!I224"")"),1)</f>
        <v>1</v>
      </c>
      <c r="J324" s="210">
        <f ca="1">IFERROR(__xludf.DUMMYFUNCTION("IMPORTRANGE(""https://docs.google.com/spreadsheets/d/1IYY_tgx_IHuhSq3AJ5eI5OnqOPBNLWSHKh2a30DoXe8/edit?usp=sharing"",""ชุมพร!J224"")"),1)</f>
        <v>1</v>
      </c>
      <c r="K324" s="230">
        <f ca="1">IF(I324&gt;0,J324*100/I324,0)</f>
        <v>100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IFERROR(__xludf.DUMMYFUNCTION("IMPORTRANGE(""https://docs.google.com/spreadsheets/d/1IYY_tgx_IHuhSq3AJ5eI5OnqOPBNLWSHKh2a30DoXe8/edit?usp=sharing"",""ชุมพร!J225"")"),0)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IFERROR(__xludf.DUMMYFUNCTION("IMPORTRANGE(""https://docs.google.com/spreadsheets/d/1IYY_tgx_IHuhSq3AJ5eI5OnqOPBNLWSHKh2a30DoXe8/edit?usp=sharing"",""ชุมพร!J226"")"),0)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IFERROR(__xludf.DUMMYFUNCTION("IMPORTRANGE(""https://docs.google.com/spreadsheets/d/1IYY_tgx_IHuhSq3AJ5eI5OnqOPBNLWSHKh2a30DoXe8/edit?usp=sharing"",""ชุมพร!I228"")"),240)</f>
        <v>240</v>
      </c>
      <c r="J328" s="345">
        <f ca="1">IFERROR(__xludf.DUMMYFUNCTION("IMPORTRANGE(""https://docs.google.com/spreadsheets/d/1IYY_tgx_IHuhSq3AJ5eI5OnqOPBNLWSHKh2a30DoXe8/edit?usp=sharing"",""ชุมพร!J228"")"),148)</f>
        <v>148</v>
      </c>
      <c r="K328" s="323">
        <f ca="1">IF(I328&gt;0,J328*100/I328,0)</f>
        <v>61.666666666666664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624360</v>
      </c>
      <c r="M329" s="156">
        <f t="shared" ca="1" si="98"/>
        <v>461120</v>
      </c>
      <c r="N329" s="156">
        <f t="shared" ca="1" si="98"/>
        <v>250000</v>
      </c>
      <c r="O329" s="155">
        <f t="shared" ref="O329:O331" ca="1" si="99">IF(L329&gt;0,N329*100/L329,0)</f>
        <v>40.041001986033699</v>
      </c>
      <c r="P329" s="155">
        <f t="shared" ref="P329:P331" ca="1" si="100">IF(M329&gt;0,N329*100/M329,0)</f>
        <v>54.215822345593338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624360</v>
      </c>
      <c r="M331" s="161">
        <f t="shared" ca="1" si="102"/>
        <v>461120</v>
      </c>
      <c r="N331" s="161">
        <f t="shared" ca="1" si="102"/>
        <v>250000</v>
      </c>
      <c r="O331" s="160">
        <f t="shared" ca="1" si="99"/>
        <v>40.041001986033699</v>
      </c>
      <c r="P331" s="160">
        <f t="shared" ca="1" si="100"/>
        <v>54.215822345593338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624360</v>
      </c>
      <c r="M333" s="173">
        <f ca="1">IFERROR(__xludf.DUMMYFUNCTION("IMPORTRANGE(""https://docs.google.com/spreadsheets/d/1Yj_ptqi66GCucihVvJfMjLAmec39IyEx_6qawtMGysU/edit?usp=sharing"",""สบก!DL82"")"),461120)</f>
        <v>461120</v>
      </c>
      <c r="N333" s="174">
        <f ca="1">IFERROR(__xludf.DUMMYFUNCTION("IMPORTRANGE(""https://docs.google.com/spreadsheets/d/1Yj_ptqi66GCucihVvJfMjLAmec39IyEx_6qawtMGysU/edit?usp=sharing"",""สบก!DM82"")"),250000)</f>
        <v>250000</v>
      </c>
      <c r="O333" s="175">
        <f ca="1">IF(L333&gt;0,N333*100/L333,0)</f>
        <v>40.041001986033699</v>
      </c>
      <c r="P333" s="175">
        <f ca="1">IF(M333&gt;0,N333*100/M333,0)</f>
        <v>54.215822345593338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IFERROR(__xludf.DUMMYFUNCTION("IMPORTRANGE(""https://docs.google.com/spreadsheets/d/1Yj_ptqi66GCucihVvJfMjLAmec39IyEx_6qawtMGysU/edit?usp=sharing"",""สบก!DH82"")"),194400)</f>
        <v>194400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IFERROR(__xludf.DUMMYFUNCTION("IMPORTRANGE(""https://docs.google.com/spreadsheets/d/1Yj_ptqi66GCucihVvJfMjLAmec39IyEx_6qawtMGysU/edit?usp=sharing"",""สบก!DI82"")"),429960)</f>
        <v>429960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IFERROR(__xludf.DUMMYFUNCTION("IMPORTRANGE(""https://docs.google.com/spreadsheets/d/1Yj_ptqi66GCucihVvJfMjLAmec39IyEx_6qawtMGysU/edit?usp=sharing"",""สบก!DJ82"")"),0)</f>
        <v>0</v>
      </c>
      <c r="M337" s="101"/>
      <c r="N337" s="91">
        <f ca="1">IFERROR(__xludf.DUMMYFUNCTION("IMPORTRANGE(""https://docs.google.com/spreadsheets/d/1Yj_ptqi66GCucihVvJfMjLAmec39IyEx_6qawtMGysU/edit?usp=sharing"",""สบก!DN82"")"),0)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IFERROR(__xludf.DUMMYFUNCTION("IMPORTRANGE(""https://docs.google.com/spreadsheets/d/1IYY_tgx_IHuhSq3AJ5eI5OnqOPBNLWSHKh2a30DoXe8/edit?usp=sharing"",""ชุมพร!I234"")"),0)</f>
        <v>0</v>
      </c>
      <c r="J339" s="194">
        <f ca="1">IFERROR(__xludf.DUMMYFUNCTION("IMPORTRANGE(""https://docs.google.com/spreadsheets/d/1IYY_tgx_IHuhSq3AJ5eI5OnqOPBNLWSHKh2a30DoXe8/edit?usp=sharing"",""ชุมพร!J234"")"),106)</f>
        <v>106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IFERROR(__xludf.DUMMYFUNCTION("IMPORTRANGE(""https://docs.google.com/spreadsheets/d/1IYY_tgx_IHuhSq3AJ5eI5OnqOPBNLWSHKh2a30DoXe8/edit?usp=sharing"",""ชุมพร!I235"")"),2510)</f>
        <v>2510</v>
      </c>
      <c r="J340" s="194">
        <f ca="1">IFERROR(__xludf.DUMMYFUNCTION("IMPORTRANGE(""https://docs.google.com/spreadsheets/d/1IYY_tgx_IHuhSq3AJ5eI5OnqOPBNLWSHKh2a30DoXe8/edit?usp=sharing"",""ชุมพร!J235"")"),1181.58)</f>
        <v>1181.58</v>
      </c>
      <c r="K340" s="348">
        <f t="shared" ca="1" si="103"/>
        <v>47.074900398406378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IFERROR(__xludf.DUMMYFUNCTION("IMPORTRANGE(""https://docs.google.com/spreadsheets/d/1IYY_tgx_IHuhSq3AJ5eI5OnqOPBNLWSHKh2a30DoXe8/edit?usp=sharing"",""ชุมพร!I236"")"),240)</f>
        <v>240</v>
      </c>
      <c r="J341" s="194">
        <f ca="1">IFERROR(__xludf.DUMMYFUNCTION("IMPORTRANGE(""https://docs.google.com/spreadsheets/d/1IYY_tgx_IHuhSq3AJ5eI5OnqOPBNLWSHKh2a30DoXe8/edit?usp=sharing"",""ชุมพร!J236"")"),125)</f>
        <v>125</v>
      </c>
      <c r="K341" s="348">
        <f t="shared" ca="1" si="103"/>
        <v>52.083333333333336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IFERROR(__xludf.DUMMYFUNCTION("IMPORTRANGE(""https://docs.google.com/spreadsheets/d/1IYY_tgx_IHuhSq3AJ5eI5OnqOPBNLWSHKh2a30DoXe8/edit?usp=sharing"",""ชุมพร!I237"")"),0)</f>
        <v>0</v>
      </c>
      <c r="J342" s="194">
        <f ca="1">IFERROR(__xludf.DUMMYFUNCTION("IMPORTRANGE(""https://docs.google.com/spreadsheets/d/1IYY_tgx_IHuhSq3AJ5eI5OnqOPBNLWSHKh2a30DoXe8/edit?usp=sharing"",""ชุมพร!J237"")"),1496.09)</f>
        <v>1496.09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IFERROR(__xludf.DUMMYFUNCTION("IMPORTRANGE(""https://docs.google.com/spreadsheets/d/1IYY_tgx_IHuhSq3AJ5eI5OnqOPBNLWSHKh2a30DoXe8/edit?usp=sharing"",""ชุมพร!I238"")"),240)</f>
        <v>240</v>
      </c>
      <c r="J343" s="194">
        <f ca="1">IFERROR(__xludf.DUMMYFUNCTION("IMPORTRANGE(""https://docs.google.com/spreadsheets/d/1IYY_tgx_IHuhSq3AJ5eI5OnqOPBNLWSHKh2a30DoXe8/edit?usp=sharing"",""ชุมพร!J238"")"),0)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IFERROR(__xludf.DUMMYFUNCTION("IMPORTRANGE(""https://docs.google.com/spreadsheets/d/1IYY_tgx_IHuhSq3AJ5eI5OnqOPBNLWSHKh2a30DoXe8/edit?usp=sharing"",""ชุมพร!I239"")"),0)</f>
        <v>0</v>
      </c>
      <c r="J344" s="194">
        <f ca="1">IFERROR(__xludf.DUMMYFUNCTION("IMPORTRANGE(""https://docs.google.com/spreadsheets/d/1IYY_tgx_IHuhSq3AJ5eI5OnqOPBNLWSHKh2a30DoXe8/edit?usp=sharing"",""ชุมพร!J239"")"),0)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IFERROR(__xludf.DUMMYFUNCTION("IMPORTRANGE(""https://docs.google.com/spreadsheets/d/1IYY_tgx_IHuhSq3AJ5eI5OnqOPBNLWSHKh2a30DoXe8/edit?usp=sharing"",""ชุมพร!I240"")"),240)</f>
        <v>240</v>
      </c>
      <c r="J345" s="194">
        <f ca="1">IFERROR(__xludf.DUMMYFUNCTION("IMPORTRANGE(""https://docs.google.com/spreadsheets/d/1IYY_tgx_IHuhSq3AJ5eI5OnqOPBNLWSHKh2a30DoXe8/edit?usp=sharing"",""ชุมพร!J240"")"),148)</f>
        <v>148</v>
      </c>
      <c r="K345" s="348">
        <f t="shared" ca="1" si="103"/>
        <v>61.666666666666664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IFERROR(__xludf.DUMMYFUNCTION("IMPORTRANGE(""https://docs.google.com/spreadsheets/d/1IYY_tgx_IHuhSq3AJ5eI5OnqOPBNLWSHKh2a30DoXe8/edit?usp=sharing"",""ชุมพร!I241"")"),0)</f>
        <v>0</v>
      </c>
      <c r="J346" s="194">
        <f ca="1">IFERROR(__xludf.DUMMYFUNCTION("IMPORTRANGE(""https://docs.google.com/spreadsheets/d/1IYY_tgx_IHuhSq3AJ5eI5OnqOPBNLWSHKh2a30DoXe8/edit?usp=sharing"",""ชุมพร!J241"")"),1726.98)</f>
        <v>1726.98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IFERROR(__xludf.DUMMYFUNCTION("IMPORTRANGE(""https://docs.google.com/spreadsheets/d/1IYY_tgx_IHuhSq3AJ5eI5OnqOPBNLWSHKh2a30DoXe8/edit?usp=sharing"",""ชุมพร!L242"")"),2083896.56)</f>
        <v>2083896.56</v>
      </c>
      <c r="M347" s="364"/>
      <c r="N347" s="364">
        <f ca="1">IFERROR(__xludf.DUMMYFUNCTION("IMPORTRANGE(""https://docs.google.com/spreadsheets/d/1IYY_tgx_IHuhSq3AJ5eI5OnqOPBNLWSHKh2a30DoXe8/edit?usp=sharing"",""ชุมพร!M242"")"),793853.36)</f>
        <v>793853.36</v>
      </c>
      <c r="O347" s="364">
        <f ca="1">+IF(L347&gt;0,N347*100/L347,0)</f>
        <v>38.094662433724636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IFERROR(__xludf.DUMMYFUNCTION("IMPORTRANGE(""https://docs.google.com/spreadsheets/d/1IYY_tgx_IHuhSq3AJ5eI5OnqOPBNLWSHKh2a30DoXe8/edit?usp=sharing"",""ชุมพร!I244"")"),175)</f>
        <v>175</v>
      </c>
      <c r="J349" s="377">
        <f ca="1">IFERROR(__xludf.DUMMYFUNCTION("IMPORTRANGE(""https://docs.google.com/spreadsheets/d/1IYY_tgx_IHuhSq3AJ5eI5OnqOPBNLWSHKh2a30DoXe8/edit?usp=sharing"",""ชุมพร!J244"")"),0)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IFERROR(__xludf.DUMMYFUNCTION("IMPORTRANGE(""https://docs.google.com/spreadsheets/d/1IYY_tgx_IHuhSq3AJ5eI5OnqOPBNLWSHKh2a30DoXe8/edit?usp=sharing"",""ชุมพร!L244"")"),369210)</f>
        <v>369210</v>
      </c>
      <c r="M349" s="379"/>
      <c r="N349" s="379">
        <f ca="1">IFERROR(__xludf.DUMMYFUNCTION("IMPORTRANGE(""https://docs.google.com/spreadsheets/d/1IYY_tgx_IHuhSq3AJ5eI5OnqOPBNLWSHKh2a30DoXe8/edit?usp=sharing"",""ชุมพร!M244"")"),248137)</f>
        <v>248137</v>
      </c>
      <c r="O349" s="379">
        <f ca="1">+IF(L349&gt;0,N349*100/L349,0)</f>
        <v>67.207551258091598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IFERROR(__xludf.DUMMYFUNCTION("IMPORTRANGE(""https://docs.google.com/spreadsheets/d/1IYY_tgx_IHuhSq3AJ5eI5OnqOPBNLWSHKh2a30DoXe8/edit?usp=sharing"",""ชุมพร!I245"")"),35)</f>
        <v>35</v>
      </c>
      <c r="J350" s="377">
        <f ca="1">IFERROR(__xludf.DUMMYFUNCTION("IMPORTRANGE(""https://docs.google.com/spreadsheets/d/1IYY_tgx_IHuhSq3AJ5eI5OnqOPBNLWSHKh2a30DoXe8/edit?usp=sharing"",""ชุมพร!J245"")"),35)</f>
        <v>35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IFERROR(__xludf.DUMMYFUNCTION("IMPORTRANGE(""https://docs.google.com/spreadsheets/d/1IYY_tgx_IHuhSq3AJ5eI5OnqOPBNLWSHKh2a30DoXe8/edit?usp=sharing"",""ชุมพร!L246"")"),0)</f>
        <v>0</v>
      </c>
      <c r="M351" s="168"/>
      <c r="N351" s="168">
        <f ca="1">IFERROR(__xludf.DUMMYFUNCTION("IMPORTRANGE(""https://docs.google.com/spreadsheets/d/1IYY_tgx_IHuhSq3AJ5eI5OnqOPBNLWSHKh2a30DoXe8/edit?usp=sharing"",""ชุมพร!M246"")"),0)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IFERROR(__xludf.DUMMYFUNCTION("IMPORTRANGE(""https://docs.google.com/spreadsheets/d/1IYY_tgx_IHuhSq3AJ5eI5OnqOPBNLWSHKh2a30DoXe8/edit?usp=sharing"",""ชุมพร!L247"")"),369210)</f>
        <v>369210</v>
      </c>
      <c r="M352" s="169"/>
      <c r="N352" s="168">
        <f ca="1">IFERROR(__xludf.DUMMYFUNCTION("IMPORTRANGE(""https://docs.google.com/spreadsheets/d/1IYY_tgx_IHuhSq3AJ5eI5OnqOPBNLWSHKh2a30DoXe8/edit?usp=sharing"",""ชุมพร!M247"")"),248137)</f>
        <v>248137</v>
      </c>
      <c r="O352" s="169">
        <f t="shared" ca="1" si="105"/>
        <v>67.207551258091598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IFERROR(__xludf.DUMMYFUNCTION("IMPORTRANGE(""https://docs.google.com/spreadsheets/d/1IYY_tgx_IHuhSq3AJ5eI5OnqOPBNLWSHKh2a30DoXe8/edit?usp=sharing"",""ชุมพร!L248"")"),0)</f>
        <v>0</v>
      </c>
      <c r="M353" s="175"/>
      <c r="N353" s="175">
        <f ca="1">IFERROR(__xludf.DUMMYFUNCTION("IMPORTRANGE(""https://docs.google.com/spreadsheets/d/1IYY_tgx_IHuhSq3AJ5eI5OnqOPBNLWSHKh2a30DoXe8/edit?usp=sharing"",""ชุมพร!M248"")"),0)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IFERROR(__xludf.DUMMYFUNCTION("IMPORTRANGE(""https://docs.google.com/spreadsheets/d/1IYY_tgx_IHuhSq3AJ5eI5OnqOPBNLWSHKh2a30DoXe8/edit?usp=sharing"",""ชุมพร!L249"")"),369210)</f>
        <v>369210</v>
      </c>
      <c r="M354" s="175"/>
      <c r="N354" s="172">
        <f ca="1">IFERROR(__xludf.DUMMYFUNCTION("IMPORTRANGE(""https://docs.google.com/spreadsheets/d/1IYY_tgx_IHuhSq3AJ5eI5OnqOPBNLWSHKh2a30DoXe8/edit?usp=sharing"",""ชุมพร!M249"")"),248137)</f>
        <v>248137</v>
      </c>
      <c r="O354" s="175">
        <f t="shared" ca="1" si="105"/>
        <v>67.207551258091598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IFERROR(__xludf.DUMMYFUNCTION("IMPORTRANGE(""https://docs.google.com/spreadsheets/d/1IYY_tgx_IHuhSq3AJ5eI5OnqOPBNLWSHKh2a30DoXe8/edit?usp=sharing"",""ชุมพร!M250"")"),44580)</f>
        <v>44580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IFERROR(__xludf.DUMMYFUNCTION("IMPORTRANGE(""https://docs.google.com/spreadsheets/d/1IYY_tgx_IHuhSq3AJ5eI5OnqOPBNLWSHKh2a30DoXe8/edit?usp=sharing"",""ชุมพร!M251"")"),142500)</f>
        <v>142500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IFERROR(__xludf.DUMMYFUNCTION("IMPORTRANGE(""https://docs.google.com/spreadsheets/d/1IYY_tgx_IHuhSq3AJ5eI5OnqOPBNLWSHKh2a30DoXe8/edit?usp=sharing"",""ชุมพร!M252"")"),53542)</f>
        <v>53542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IFERROR(__xludf.DUMMYFUNCTION("IMPORTRANGE(""https://docs.google.com/spreadsheets/d/1IYY_tgx_IHuhSq3AJ5eI5OnqOPBNLWSHKh2a30DoXe8/edit?usp=sharing"",""ชุมพร!M253"")"),7515)</f>
        <v>7515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IFERROR(__xludf.DUMMYFUNCTION("IMPORTRANGE(""https://docs.google.com/spreadsheets/d/1IYY_tgx_IHuhSq3AJ5eI5OnqOPBNLWSHKh2a30DoXe8/edit?usp=sharing"",""ชุมพร!J255"")"),0)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IFERROR(__xludf.DUMMYFUNCTION("IMPORTRANGE(""https://docs.google.com/spreadsheets/d/1IYY_tgx_IHuhSq3AJ5eI5OnqOPBNLWSHKh2a30DoXe8/edit?usp=sharing"",""ชุมพร!J256"")"),1)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IFERROR(__xludf.DUMMYFUNCTION("IMPORTRANGE(""https://docs.google.com/spreadsheets/d/1IYY_tgx_IHuhSq3AJ5eI5OnqOPBNLWSHKh2a30DoXe8/edit?usp=sharing"",""ชุมพร!J257"")"),1)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IFERROR(__xludf.DUMMYFUNCTION("IMPORTRANGE(""https://docs.google.com/spreadsheets/d/1IYY_tgx_IHuhSq3AJ5eI5OnqOPBNLWSHKh2a30DoXe8/edit?usp=sharing"",""ชุมพร!J258"")"),1)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IFERROR(__xludf.DUMMYFUNCTION("IMPORTRANGE(""https://docs.google.com/spreadsheets/d/1IYY_tgx_IHuhSq3AJ5eI5OnqOPBNLWSHKh2a30DoXe8/edit?usp=sharing"",""ชุมพร!J166"")"),0)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IFERROR(__xludf.DUMMYFUNCTION("IMPORTRANGE(""https://docs.google.com/spreadsheets/d/1IYY_tgx_IHuhSq3AJ5eI5OnqOPBNLWSHKh2a30DoXe8/edit?usp=sharing"",""ชุมพร!J166"")"),0)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IFERROR(__xludf.DUMMYFUNCTION("IMPORTRANGE(""https://docs.google.com/spreadsheets/d/1IYY_tgx_IHuhSq3AJ5eI5OnqOPBNLWSHKh2a30DoXe8/edit?usp=sharing"",""ชุมพร!J166"")"),0)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IFERROR(__xludf.DUMMYFUNCTION("IMPORTRANGE(""https://docs.google.com/spreadsheets/d/1IYY_tgx_IHuhSq3AJ5eI5OnqOPBNLWSHKh2a30DoXe8/edit?usp=sharing"",""ชุมพร!J166"")"),0)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IFERROR(__xludf.DUMMYFUNCTION("IMPORTRANGE(""https://docs.google.com/spreadsheets/d/1IYY_tgx_IHuhSq3AJ5eI5OnqOPBNLWSHKh2a30DoXe8/edit?usp=sharing"",""ชุมพร!I263"")"),35)</f>
        <v>35</v>
      </c>
      <c r="J368" s="194">
        <f ca="1">IFERROR(__xludf.DUMMYFUNCTION("IMPORTRANGE(""https://docs.google.com/spreadsheets/d/1IYY_tgx_IHuhSq3AJ5eI5OnqOPBNLWSHKh2a30DoXe8/edit?usp=sharing"",""ชุมพร!J263"")"),35)</f>
        <v>35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IFERROR(__xludf.DUMMYFUNCTION("IMPORTRANGE(""https://docs.google.com/spreadsheets/d/1IYY_tgx_IHuhSq3AJ5eI5OnqOPBNLWSHKh2a30DoXe8/edit?usp=sharing"",""ชุมพร!I164"")"),0)</f>
        <v>0</v>
      </c>
      <c r="J369" s="210">
        <f ca="1">IFERROR(__xludf.DUMMYFUNCTION("IMPORTRANGE(""https://docs.google.com/spreadsheets/d/1IYY_tgx_IHuhSq3AJ5eI5OnqOPBNLWSHKh2a30DoXe8/edit?usp=sharing"",""ชุมพร!J164"")"),0)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IFERROR(__xludf.DUMMYFUNCTION("IMPORTRANGE(""https://docs.google.com/spreadsheets/d/1IYY_tgx_IHuhSq3AJ5eI5OnqOPBNLWSHKh2a30DoXe8/edit?usp=sharing"",""ชุมพร!I265"")"),35)</f>
        <v>35</v>
      </c>
      <c r="J370" s="210">
        <f ca="1">IFERROR(__xludf.DUMMYFUNCTION("IMPORTRANGE(""https://docs.google.com/spreadsheets/d/1IYY_tgx_IHuhSq3AJ5eI5OnqOPBNLWSHKh2a30DoXe8/edit?usp=sharing"",""ชุมพร!J265"")"),35)</f>
        <v>35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IFERROR(__xludf.DUMMYFUNCTION("IMPORTRANGE(""https://docs.google.com/spreadsheets/d/1IYY_tgx_IHuhSq3AJ5eI5OnqOPBNLWSHKh2a30DoXe8/edit?usp=sharing"",""ชุมพร!I164"")"),0)</f>
        <v>0</v>
      </c>
      <c r="J371" s="195">
        <f ca="1">IFERROR(__xludf.DUMMYFUNCTION("IMPORTRANGE(""https://docs.google.com/spreadsheets/d/1IYY_tgx_IHuhSq3AJ5eI5OnqOPBNLWSHKh2a30DoXe8/edit?usp=sharing"",""ชุมพร!J164"")"),0)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IFERROR(__xludf.DUMMYFUNCTION("IMPORTRANGE(""https://docs.google.com/spreadsheets/d/1IYY_tgx_IHuhSq3AJ5eI5OnqOPBNLWSHKh2a30DoXe8/edit?usp=sharing"",""ชุมพร!I267"")"),35)</f>
        <v>35</v>
      </c>
      <c r="J372" s="195">
        <f ca="1">IFERROR(__xludf.DUMMYFUNCTION("IMPORTRANGE(""https://docs.google.com/spreadsheets/d/1IYY_tgx_IHuhSq3AJ5eI5OnqOPBNLWSHKh2a30DoXe8/edit?usp=sharing"",""ชุมพร!J267"")"),35)</f>
        <v>35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IFERROR(__xludf.DUMMYFUNCTION("IMPORTRANGE(""https://docs.google.com/spreadsheets/d/1IYY_tgx_IHuhSq3AJ5eI5OnqOPBNLWSHKh2a30DoXe8/edit?usp=sharing"",""ชุมพร!I164"")"),0)</f>
        <v>0</v>
      </c>
      <c r="J373" s="210">
        <f ca="1">IFERROR(__xludf.DUMMYFUNCTION("IMPORTRANGE(""https://docs.google.com/spreadsheets/d/1IYY_tgx_IHuhSq3AJ5eI5OnqOPBNLWSHKh2a30DoXe8/edit?usp=sharing"",""ชุมพร!J164"")"),0)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IFERROR(__xludf.DUMMYFUNCTION("IMPORTRANGE(""https://docs.google.com/spreadsheets/d/1IYY_tgx_IHuhSq3AJ5eI5OnqOPBNLWSHKh2a30DoXe8/edit?usp=sharing"",""ชุมพร!I164"")"),0)</f>
        <v>0</v>
      </c>
      <c r="J374" s="194">
        <f ca="1">IFERROR(__xludf.DUMMYFUNCTION("IMPORTRANGE(""https://docs.google.com/spreadsheets/d/1IYY_tgx_IHuhSq3AJ5eI5OnqOPBNLWSHKh2a30DoXe8/edit?usp=sharing"",""ชุมพร!J164"")"),0)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IFERROR(__xludf.DUMMYFUNCTION("IMPORTRANGE(""https://docs.google.com/spreadsheets/d/1IYY_tgx_IHuhSq3AJ5eI5OnqOPBNLWSHKh2a30DoXe8/edit?usp=sharing"",""ชุมพร!I270"")"),175)</f>
        <v>175</v>
      </c>
      <c r="J375" s="194">
        <f ca="1">IFERROR(__xludf.DUMMYFUNCTION("IMPORTRANGE(""https://docs.google.com/spreadsheets/d/1IYY_tgx_IHuhSq3AJ5eI5OnqOPBNLWSHKh2a30DoXe8/edit?usp=sharing"",""ชุมพร!J270"")"),0)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IFERROR(__xludf.DUMMYFUNCTION("IMPORTRANGE(""https://docs.google.com/spreadsheets/d/1IYY_tgx_IHuhSq3AJ5eI5OnqOPBNLWSHKh2a30DoXe8/edit?usp=sharing"",""ชุมพร!I271"")"),50)</f>
        <v>50</v>
      </c>
      <c r="J376" s="195">
        <f ca="1">IFERROR(__xludf.DUMMYFUNCTION("IMPORTRANGE(""https://docs.google.com/spreadsheets/d/1IYY_tgx_IHuhSq3AJ5eI5OnqOPBNLWSHKh2a30DoXe8/edit?usp=sharing"",""ชุมพร!J271"")"),0)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IFERROR(__xludf.DUMMYFUNCTION("IMPORTRANGE(""https://docs.google.com/spreadsheets/d/1IYY_tgx_IHuhSq3AJ5eI5OnqOPBNLWSHKh2a30DoXe8/edit?usp=sharing"",""ชุมพร!I272"")"),125)</f>
        <v>125</v>
      </c>
      <c r="J377" s="210">
        <f ca="1">IFERROR(__xludf.DUMMYFUNCTION("IMPORTRANGE(""https://docs.google.com/spreadsheets/d/1IYY_tgx_IHuhSq3AJ5eI5OnqOPBNLWSHKh2a30DoXe8/edit?usp=sharing"",""ชุมพร!J272"")"),0)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IFERROR(__xludf.DUMMYFUNCTION("IMPORTRANGE(""https://docs.google.com/spreadsheets/d/1IYY_tgx_IHuhSq3AJ5eI5OnqOPBNLWSHKh2a30DoXe8/edit?usp=sharing"",""ชุมพร!J273"")"),0)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IFERROR(__xludf.DUMMYFUNCTION("IMPORTRANGE(""https://docs.google.com/spreadsheets/d/1IYY_tgx_IHuhSq3AJ5eI5OnqOPBNLWSHKh2a30DoXe8/edit?usp=sharing"",""ชุมพร!J274"")"),0)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IFERROR(__xludf.DUMMYFUNCTION("IMPORTRANGE(""https://docs.google.com/spreadsheets/d/1IYY_tgx_IHuhSq3AJ5eI5OnqOPBNLWSHKh2a30DoXe8/edit?usp=sharing"",""ชุมพร!I275"")"),500)</f>
        <v>500</v>
      </c>
      <c r="J380" s="377">
        <f ca="1">IFERROR(__xludf.DUMMYFUNCTION("IMPORTRANGE(""https://docs.google.com/spreadsheets/d/1IYY_tgx_IHuhSq3AJ5eI5OnqOPBNLWSHKh2a30DoXe8/edit?usp=sharing"",""ชุมพร!J275"")"),0)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IFERROR(__xludf.DUMMYFUNCTION("IMPORTRANGE(""https://docs.google.com/spreadsheets/d/1IYY_tgx_IHuhSq3AJ5eI5OnqOPBNLWSHKh2a30DoXe8/edit?usp=sharing"",""ชุมพร!L275"")"),460140)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IFERROR(__xludf.DUMMYFUNCTION("IMPORTRANGE(""https://docs.google.com/spreadsheets/d/1IYY_tgx_IHuhSq3AJ5eI5OnqOPBNLWSHKh2a30DoXe8/edit?usp=sharing"",""ชุมพร!M275"")"),51720)</f>
        <v>51720</v>
      </c>
      <c r="O380" s="379">
        <f ca="1">+IF(L380&gt;0,N380*100/L380,0)</f>
        <v>11.240057373842744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IFERROR(__xludf.DUMMYFUNCTION("IMPORTRANGE(""https://docs.google.com/spreadsheets/d/1IYY_tgx_IHuhSq3AJ5eI5OnqOPBNLWSHKh2a30DoXe8/edit?usp=sharing"",""ชุมพร!I276"")"),50)</f>
        <v>50</v>
      </c>
      <c r="J381" s="377">
        <f ca="1">IFERROR(__xludf.DUMMYFUNCTION("IMPORTRANGE(""https://docs.google.com/spreadsheets/d/1IYY_tgx_IHuhSq3AJ5eI5OnqOPBNLWSHKh2a30DoXe8/edit?usp=sharing"",""ชุมพร!J276"")"),50)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IFERROR(__xludf.DUMMYFUNCTION("IMPORTRANGE(""https://docs.google.com/spreadsheets/d/1IYY_tgx_IHuhSq3AJ5eI5OnqOPBNLWSHKh2a30DoXe8/edit?usp=sharing"",""ชุมพร!L277"")"),0)</f>
        <v>0</v>
      </c>
      <c r="M382" s="168"/>
      <c r="N382" s="168">
        <f ca="1">IFERROR(__xludf.DUMMYFUNCTION("IMPORTRANGE(""https://docs.google.com/spreadsheets/d/1IYY_tgx_IHuhSq3AJ5eI5OnqOPBNLWSHKh2a30DoXe8/edit?usp=sharing"",""ชุมพร!M277"")"),0)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IFERROR(__xludf.DUMMYFUNCTION("IMPORTRANGE(""https://docs.google.com/spreadsheets/d/1IYY_tgx_IHuhSq3AJ5eI5OnqOPBNLWSHKh2a30DoXe8/edit?usp=sharing"",""ชุมพร!L278"")"),460140)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IFERROR(__xludf.DUMMYFUNCTION("IMPORTRANGE(""https://docs.google.com/spreadsheets/d/1IYY_tgx_IHuhSq3AJ5eI5OnqOPBNLWSHKh2a30DoXe8/edit?usp=sharing"",""ชุมพร!M278"")"),51720)</f>
        <v>51720</v>
      </c>
      <c r="O383" s="169">
        <f t="shared" ca="1" si="109"/>
        <v>11.240057373842744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IFERROR(__xludf.DUMMYFUNCTION("IMPORTRANGE(""https://docs.google.com/spreadsheets/d/1IYY_tgx_IHuhSq3AJ5eI5OnqOPBNLWSHKh2a30DoXe8/edit?usp=sharing"",""ชุมพร!L279"")"),0)</f>
        <v>0</v>
      </c>
      <c r="M384" s="175"/>
      <c r="N384" s="175">
        <f ca="1">IFERROR(__xludf.DUMMYFUNCTION("IMPORTRANGE(""https://docs.google.com/spreadsheets/d/1IYY_tgx_IHuhSq3AJ5eI5OnqOPBNLWSHKh2a30DoXe8/edit?usp=sharing"",""ชุมพร!M279"")"),0)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IFERROR(__xludf.DUMMYFUNCTION("IMPORTRANGE(""https://docs.google.com/spreadsheets/d/1IYY_tgx_IHuhSq3AJ5eI5OnqOPBNLWSHKh2a30DoXe8/edit?usp=sharing"",""ชุมพร!L280"")"),460140)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IFERROR(__xludf.DUMMYFUNCTION("IMPORTRANGE(""https://docs.google.com/spreadsheets/d/1IYY_tgx_IHuhSq3AJ5eI5OnqOPBNLWSHKh2a30DoXe8/edit?usp=sharing"",""ชุมพร!M280"")"),51720)</f>
        <v>51720</v>
      </c>
      <c r="O385" s="175">
        <f t="shared" ca="1" si="109"/>
        <v>11.240057373842744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IFERROR(__xludf.DUMMYFUNCTION("IMPORTRANGE(""https://docs.google.com/spreadsheets/d/1IYY_tgx_IHuhSq3AJ5eI5OnqOPBNLWSHKh2a30DoXe8/edit?usp=sharing"",""ชุมพร!M281"")"),51080)</f>
        <v>51080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IFERROR(__xludf.DUMMYFUNCTION("IMPORTRANGE(""https://docs.google.com/spreadsheets/d/1IYY_tgx_IHuhSq3AJ5eI5OnqOPBNLWSHKh2a30DoXe8/edit?usp=sharing"",""ชุมพร!M282"")"),0)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IFERROR(__xludf.DUMMYFUNCTION("IMPORTRANGE(""https://docs.google.com/spreadsheets/d/1IYY_tgx_IHuhSq3AJ5eI5OnqOPBNLWSHKh2a30DoXe8/edit?usp=sharing"",""ชุมพร!M283"")"),0)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IFERROR(__xludf.DUMMYFUNCTION("IMPORTRANGE(""https://docs.google.com/spreadsheets/d/1IYY_tgx_IHuhSq3AJ5eI5OnqOPBNLWSHKh2a30DoXe8/edit?usp=sharing"",""ชุมพร!M284"")"),640)</f>
        <v>640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IFERROR(__xludf.DUMMYFUNCTION("IMPORTRANGE(""https://docs.google.com/spreadsheets/d/1IYY_tgx_IHuhSq3AJ5eI5OnqOPBNLWSHKh2a30DoXe8/edit?usp=sharing"",""ชุมพร!J286"")"),0)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IFERROR(__xludf.DUMMYFUNCTION("IMPORTRANGE(""https://docs.google.com/spreadsheets/d/1IYY_tgx_IHuhSq3AJ5eI5OnqOPBNLWSHKh2a30DoXe8/edit?usp=sharing"",""ชุมพร!J287"")"),1)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IFERROR(__xludf.DUMMYFUNCTION("IMPORTRANGE(""https://docs.google.com/spreadsheets/d/1IYY_tgx_IHuhSq3AJ5eI5OnqOPBNLWSHKh2a30DoXe8/edit?usp=sharing"",""ชุมพร!J288"")"),1)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IFERROR(__xludf.DUMMYFUNCTION("IMPORTRANGE(""https://docs.google.com/spreadsheets/d/1IYY_tgx_IHuhSq3AJ5eI5OnqOPBNLWSHKh2a30DoXe8/edit?usp=sharing"",""ชุมพร!J289"")"),1)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IFERROR(__xludf.DUMMYFUNCTION("IMPORTRANGE(""https://docs.google.com/spreadsheets/d/1IYY_tgx_IHuhSq3AJ5eI5OnqOPBNLWSHKh2a30DoXe8/edit?usp=sharing"",""ชุมพร!I291"")"),50)</f>
        <v>50</v>
      </c>
      <c r="J396" s="204">
        <f ca="1">IFERROR(__xludf.DUMMYFUNCTION("IMPORTRANGE(""https://docs.google.com/spreadsheets/d/1IYY_tgx_IHuhSq3AJ5eI5OnqOPBNLWSHKh2a30DoXe8/edit?usp=sharing"",""ชุมพร!J291"")"),50)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IFERROR(__xludf.DUMMYFUNCTION("IMPORTRANGE(""https://docs.google.com/spreadsheets/d/1IYY_tgx_IHuhSq3AJ5eI5OnqOPBNLWSHKh2a30DoXe8/edit?usp=sharing"",""ชุมพร!I292"")"),500)</f>
        <v>500</v>
      </c>
      <c r="J397" s="204">
        <f ca="1">IFERROR(__xludf.DUMMYFUNCTION("IMPORTRANGE(""https://docs.google.com/spreadsheets/d/1IYY_tgx_IHuhSq3AJ5eI5OnqOPBNLWSHKh2a30DoXe8/edit?usp=sharing"",""ชุมพร!J292"")"),0)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IFERROR(__xludf.DUMMYFUNCTION("IMPORTRANGE(""https://docs.google.com/spreadsheets/d/1IYY_tgx_IHuhSq3AJ5eI5OnqOPBNLWSHKh2a30DoXe8/edit?usp=sharing"",""ชุมพร!I293"")"),50)</f>
        <v>50</v>
      </c>
      <c r="J398" s="204">
        <f ca="1">IFERROR(__xludf.DUMMYFUNCTION("IMPORTRANGE(""https://docs.google.com/spreadsheets/d/1IYY_tgx_IHuhSq3AJ5eI5OnqOPBNLWSHKh2a30DoXe8/edit?usp=sharing"",""ชุมพร!J293"")"),0)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IFERROR(__xludf.DUMMYFUNCTION("IMPORTRANGE(""https://docs.google.com/spreadsheets/d/1IYY_tgx_IHuhSq3AJ5eI5OnqOPBNLWSHKh2a30DoXe8/edit?usp=sharing"",""ชุมพร!J294"")"),0)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IFERROR(__xludf.DUMMYFUNCTION("IMPORTRANGE(""https://docs.google.com/spreadsheets/d/1IYY_tgx_IHuhSq3AJ5eI5OnqOPBNLWSHKh2a30DoXe8/edit?usp=sharing"",""ชุมพร!J295"")"),0)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IFERROR(__xludf.DUMMYFUNCTION("IMPORTRANGE(""https://docs.google.com/spreadsheets/d/1IYY_tgx_IHuhSq3AJ5eI5OnqOPBNLWSHKh2a30DoXe8/edit?usp=sharing"",""ชุมพร!I296"")"),135)</f>
        <v>135</v>
      </c>
      <c r="J401" s="377">
        <f ca="1">IFERROR(__xludf.DUMMYFUNCTION("IMPORTRANGE(""https://docs.google.com/spreadsheets/d/1IYY_tgx_IHuhSq3AJ5eI5OnqOPBNLWSHKh2a30DoXe8/edit?usp=sharing"",""ชุมพร!J296"")"),135)</f>
        <v>135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IFERROR(__xludf.DUMMYFUNCTION("IMPORTRANGE(""https://docs.google.com/spreadsheets/d/1IYY_tgx_IHuhSq3AJ5eI5OnqOPBNLWSHKh2a30DoXe8/edit?usp=sharing"",""ชุมพร!L296"")"),159950)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IFERROR(__xludf.DUMMYFUNCTION("IMPORTRANGE(""https://docs.google.com/spreadsheets/d/1IYY_tgx_IHuhSq3AJ5eI5OnqOPBNLWSHKh2a30DoXe8/edit?usp=sharing"",""ชุมพร!M296"")"),63292)</f>
        <v>63292</v>
      </c>
      <c r="O401" s="379">
        <f ca="1">+IF(L401&gt;0,N401*100/L401,0)</f>
        <v>39.569865582994687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IFERROR(__xludf.DUMMYFUNCTION("IMPORTRANGE(""https://docs.google.com/spreadsheets/d/1IYY_tgx_IHuhSq3AJ5eI5OnqOPBNLWSHKh2a30DoXe8/edit?usp=sharing"",""ชุมพร!I297"")"),45)</f>
        <v>45</v>
      </c>
      <c r="J402" s="377">
        <f ca="1">IFERROR(__xludf.DUMMYFUNCTION("IMPORTRANGE(""https://docs.google.com/spreadsheets/d/1IYY_tgx_IHuhSq3AJ5eI5OnqOPBNLWSHKh2a30DoXe8/edit?usp=sharing"",""ชุมพร!J297"")"),0)</f>
        <v>0</v>
      </c>
      <c r="K402" s="378">
        <f t="shared" ca="1" si="111"/>
        <v>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IFERROR(__xludf.DUMMYFUNCTION("IMPORTRANGE(""https://docs.google.com/spreadsheets/d/1IYY_tgx_IHuhSq3AJ5eI5OnqOPBNLWSHKh2a30DoXe8/edit?usp=sharing"",""ชุมพร!L298"")"),0)</f>
        <v>0</v>
      </c>
      <c r="M403" s="168"/>
      <c r="N403" s="175">
        <f ca="1">IFERROR(__xludf.DUMMYFUNCTION("IMPORTRANGE(""https://docs.google.com/spreadsheets/d/1IYY_tgx_IHuhSq3AJ5eI5OnqOPBNLWSHKh2a30DoXe8/edit?usp=sharing"",""ชุมพร!M298"")"),0)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IFERROR(__xludf.DUMMYFUNCTION("IMPORTRANGE(""https://docs.google.com/spreadsheets/d/1IYY_tgx_IHuhSq3AJ5eI5OnqOPBNLWSHKh2a30DoXe8/edit?usp=sharing"",""ชุมพร!L299"")"),159950)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IFERROR(__xludf.DUMMYFUNCTION("IMPORTRANGE(""https://docs.google.com/spreadsheets/d/1IYY_tgx_IHuhSq3AJ5eI5OnqOPBNLWSHKh2a30DoXe8/edit?usp=sharing"",""ชุมพร!M299"")"),63292)</f>
        <v>63292</v>
      </c>
      <c r="O404" s="175">
        <f t="shared" ca="1" si="112"/>
        <v>39.569865582994687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IFERROR(__xludf.DUMMYFUNCTION("IMPORTRANGE(""https://docs.google.com/spreadsheets/d/1IYY_tgx_IHuhSq3AJ5eI5OnqOPBNLWSHKh2a30DoXe8/edit?usp=sharing"",""ชุมพร!L300"")"),0)</f>
        <v>0</v>
      </c>
      <c r="M405" s="175"/>
      <c r="N405" s="175">
        <f ca="1">IFERROR(__xludf.DUMMYFUNCTION("IMPORTRANGE(""https://docs.google.com/spreadsheets/d/1IYY_tgx_IHuhSq3AJ5eI5OnqOPBNLWSHKh2a30DoXe8/edit?usp=sharing"",""ชุมพร!M300"")"),0)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IFERROR(__xludf.DUMMYFUNCTION("IMPORTRANGE(""https://docs.google.com/spreadsheets/d/1IYY_tgx_IHuhSq3AJ5eI5OnqOPBNLWSHKh2a30DoXe8/edit?usp=sharing"",""ชุมพร!L301"")"),159950)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IFERROR(__xludf.DUMMYFUNCTION("IMPORTRANGE(""https://docs.google.com/spreadsheets/d/1IYY_tgx_IHuhSq3AJ5eI5OnqOPBNLWSHKh2a30DoXe8/edit?usp=sharing"",""ชุมพร!M301"")"),63292)</f>
        <v>63292</v>
      </c>
      <c r="O406" s="175">
        <f t="shared" ca="1" si="112"/>
        <v>39.569865582994687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IFERROR(__xludf.DUMMYFUNCTION("IMPORTRANGE(""https://docs.google.com/spreadsheets/d/1IYY_tgx_IHuhSq3AJ5eI5OnqOPBNLWSHKh2a30DoXe8/edit?usp=sharing"",""ชุมพร!M302"")"),50870)</f>
        <v>50870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IFERROR(__xludf.DUMMYFUNCTION("IMPORTRANGE(""https://docs.google.com/spreadsheets/d/1IYY_tgx_IHuhSq3AJ5eI5OnqOPBNLWSHKh2a30DoXe8/edit?usp=sharing"",""ชุมพร!M303"")"),0)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IFERROR(__xludf.DUMMYFUNCTION("IMPORTRANGE(""https://docs.google.com/spreadsheets/d/1IYY_tgx_IHuhSq3AJ5eI5OnqOPBNLWSHKh2a30DoXe8/edit?usp=sharing"",""ชุมพร!M304"")"),0)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IFERROR(__xludf.DUMMYFUNCTION("IMPORTRANGE(""https://docs.google.com/spreadsheets/d/1IYY_tgx_IHuhSq3AJ5eI5OnqOPBNLWSHKh2a30DoXe8/edit?usp=sharing"",""ชุมพร!M305"")"),12422)</f>
        <v>12422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IFERROR(__xludf.DUMMYFUNCTION("IMPORTRANGE(""https://docs.google.com/spreadsheets/d/1IYY_tgx_IHuhSq3AJ5eI5OnqOPBNLWSHKh2a30DoXe8/edit?usp=sharing"",""ชุมพร!J307"")"),0)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IFERROR(__xludf.DUMMYFUNCTION("IMPORTRANGE(""https://docs.google.com/spreadsheets/d/1IYY_tgx_IHuhSq3AJ5eI5OnqOPBNLWSHKh2a30DoXe8/edit?usp=sharing"",""ชุมพร!J308"")"),1)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IFERROR(__xludf.DUMMYFUNCTION("IMPORTRANGE(""https://docs.google.com/spreadsheets/d/1IYY_tgx_IHuhSq3AJ5eI5OnqOPBNLWSHKh2a30DoXe8/edit?usp=sharing"",""ชุมพร!J309"")"),1)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IFERROR(__xludf.DUMMYFUNCTION("IMPORTRANGE(""https://docs.google.com/spreadsheets/d/1IYY_tgx_IHuhSq3AJ5eI5OnqOPBNLWSHKh2a30DoXe8/edit?usp=sharing"",""ชุมพร!J310"")"),1)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IFERROR(__xludf.DUMMYFUNCTION("IMPORTRANGE(""https://docs.google.com/spreadsheets/d/1IYY_tgx_IHuhSq3AJ5eI5OnqOPBNLWSHKh2a30DoXe8/edit?usp=sharing"",""ชุมพร!I311"")"),45)</f>
        <v>45</v>
      </c>
      <c r="J416" s="207">
        <f ca="1">IFERROR(__xludf.DUMMYFUNCTION("IMPORTRANGE(""https://docs.google.com/spreadsheets/d/1IYY_tgx_IHuhSq3AJ5eI5OnqOPBNLWSHKh2a30DoXe8/edit?usp=sharing"",""ชุมพร!J311"")"),0)</f>
        <v>0</v>
      </c>
      <c r="K416" s="208">
        <f t="shared" ref="K416:K432" ca="1" si="113">IF(I416&gt;0,J416*100/I416,0)</f>
        <v>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IFERROR(__xludf.DUMMYFUNCTION("IMPORTRANGE(""https://docs.google.com/spreadsheets/d/1IYY_tgx_IHuhSq3AJ5eI5OnqOPBNLWSHKh2a30DoXe8/edit?usp=sharing"",""ชุมพร!I312"")"),10)</f>
        <v>10</v>
      </c>
      <c r="J417" s="398">
        <f ca="1">IFERROR(__xludf.DUMMYFUNCTION("IMPORTRANGE(""https://docs.google.com/spreadsheets/d/1IYY_tgx_IHuhSq3AJ5eI5OnqOPBNLWSHKh2a30DoXe8/edit?usp=sharing"",""ชุมพร!J312"")"),0)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IFERROR(__xludf.DUMMYFUNCTION("IMPORTRANGE(""https://docs.google.com/spreadsheets/d/1IYY_tgx_IHuhSq3AJ5eI5OnqOPBNLWSHKh2a30DoXe8/edit?usp=sharing"",""ชุมพร!I313"")"),30)</f>
        <v>30</v>
      </c>
      <c r="J418" s="399">
        <f ca="1">IFERROR(__xludf.DUMMYFUNCTION("IMPORTRANGE(""https://docs.google.com/spreadsheets/d/1IYY_tgx_IHuhSq3AJ5eI5OnqOPBNLWSHKh2a30DoXe8/edit?usp=sharing"",""ชุมพร!J313"")"),30)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IFERROR(__xludf.DUMMYFUNCTION("IMPORTRANGE(""https://docs.google.com/spreadsheets/d/1IYY_tgx_IHuhSq3AJ5eI5OnqOPBNLWSHKh2a30DoXe8/edit?usp=sharing"",""ชุมพร!I314"")"),10)</f>
        <v>10</v>
      </c>
      <c r="J419" s="400">
        <f ca="1">IFERROR(__xludf.DUMMYFUNCTION("IMPORTRANGE(""https://docs.google.com/spreadsheets/d/1IYY_tgx_IHuhSq3AJ5eI5OnqOPBNLWSHKh2a30DoXe8/edit?usp=sharing"",""ชุมพร!J314"")"),10)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IFERROR(__xludf.DUMMYFUNCTION("IMPORTRANGE(""https://docs.google.com/spreadsheets/d/1IYY_tgx_IHuhSq3AJ5eI5OnqOPBNLWSHKh2a30DoXe8/edit?usp=sharing"",""ชุมพร!I315"")"),10)</f>
        <v>10</v>
      </c>
      <c r="J420" s="400">
        <f ca="1">IFERROR(__xludf.DUMMYFUNCTION("IMPORTRANGE(""https://docs.google.com/spreadsheets/d/1IYY_tgx_IHuhSq3AJ5eI5OnqOPBNLWSHKh2a30DoXe8/edit?usp=sharing"",""ชุมพร!J315"")"),0)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IFERROR(__xludf.DUMMYFUNCTION("IMPORTRANGE(""https://docs.google.com/spreadsheets/d/1IYY_tgx_IHuhSq3AJ5eI5OnqOPBNLWSHKh2a30DoXe8/edit?usp=sharing"",""ชุมพร!I316"")"),25)</f>
        <v>25</v>
      </c>
      <c r="J421" s="398">
        <f ca="1">IFERROR(__xludf.DUMMYFUNCTION("IMPORTRANGE(""https://docs.google.com/spreadsheets/d/1IYY_tgx_IHuhSq3AJ5eI5OnqOPBNLWSHKh2a30DoXe8/edit?usp=sharing"",""ชุมพร!J316"")"),0)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IFERROR(__xludf.DUMMYFUNCTION("IMPORTRANGE(""https://docs.google.com/spreadsheets/d/1IYY_tgx_IHuhSq3AJ5eI5OnqOPBNLWSHKh2a30DoXe8/edit?usp=sharing"",""ชุมพร!I317"")"),75)</f>
        <v>75</v>
      </c>
      <c r="J422" s="399">
        <f ca="1">IFERROR(__xludf.DUMMYFUNCTION("IMPORTRANGE(""https://docs.google.com/spreadsheets/d/1IYY_tgx_IHuhSq3AJ5eI5OnqOPBNLWSHKh2a30DoXe8/edit?usp=sharing"",""ชุมพร!J317"")"),75)</f>
        <v>75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IFERROR(__xludf.DUMMYFUNCTION("IMPORTRANGE(""https://docs.google.com/spreadsheets/d/1IYY_tgx_IHuhSq3AJ5eI5OnqOPBNLWSHKh2a30DoXe8/edit?usp=sharing"",""ชุมพร!I318"")"),25)</f>
        <v>25</v>
      </c>
      <c r="J423" s="400">
        <f ca="1">IFERROR(__xludf.DUMMYFUNCTION("IMPORTRANGE(""https://docs.google.com/spreadsheets/d/1IYY_tgx_IHuhSq3AJ5eI5OnqOPBNLWSHKh2a30DoXe8/edit?usp=sharing"",""ชุมพร!J318"")"),25)</f>
        <v>25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IFERROR(__xludf.DUMMYFUNCTION("IMPORTRANGE(""https://docs.google.com/spreadsheets/d/1IYY_tgx_IHuhSq3AJ5eI5OnqOPBNLWSHKh2a30DoXe8/edit?usp=sharing"",""ชุมพร!I319"")"),25)</f>
        <v>25</v>
      </c>
      <c r="J424" s="400">
        <f ca="1">IFERROR(__xludf.DUMMYFUNCTION("IMPORTRANGE(""https://docs.google.com/spreadsheets/d/1IYY_tgx_IHuhSq3AJ5eI5OnqOPBNLWSHKh2a30DoXe8/edit?usp=sharing"",""ชุมพร!J319"")"),0)</f>
        <v>0</v>
      </c>
      <c r="K424" s="167">
        <f t="shared" ca="1" si="113"/>
        <v>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IFERROR(__xludf.DUMMYFUNCTION("IMPORTRANGE(""https://docs.google.com/spreadsheets/d/1IYY_tgx_IHuhSq3AJ5eI5OnqOPBNLWSHKh2a30DoXe8/edit?usp=sharing"",""ชุมพร!I320"")"),25)</f>
        <v>25</v>
      </c>
      <c r="J425" s="400">
        <f ca="1">IFERROR(__xludf.DUMMYFUNCTION("IMPORTRANGE(""https://docs.google.com/spreadsheets/d/1IYY_tgx_IHuhSq3AJ5eI5OnqOPBNLWSHKh2a30DoXe8/edit?usp=sharing"",""ชุมพร!J320"")"),0)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IFERROR(__xludf.DUMMYFUNCTION("IMPORTRANGE(""https://docs.google.com/spreadsheets/d/1IYY_tgx_IHuhSq3AJ5eI5OnqOPBNLWSHKh2a30DoXe8/edit?usp=sharing"",""ชุมพร!I321"")"),10)</f>
        <v>10</v>
      </c>
      <c r="J426" s="398">
        <f ca="1">IFERROR(__xludf.DUMMYFUNCTION("IMPORTRANGE(""https://docs.google.com/spreadsheets/d/1IYY_tgx_IHuhSq3AJ5eI5OnqOPBNLWSHKh2a30DoXe8/edit?usp=sharing"",""ชุมพร!J321"")"),0)</f>
        <v>0</v>
      </c>
      <c r="K426" s="208">
        <f t="shared" ca="1" si="113"/>
        <v>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IFERROR(__xludf.DUMMYFUNCTION("IMPORTRANGE(""https://docs.google.com/spreadsheets/d/1IYY_tgx_IHuhSq3AJ5eI5OnqOPBNLWSHKh2a30DoXe8/edit?usp=sharing"",""ชุมพร!I322"")"),30)</f>
        <v>30</v>
      </c>
      <c r="J427" s="399">
        <f ca="1">IFERROR(__xludf.DUMMYFUNCTION("IMPORTRANGE(""https://docs.google.com/spreadsheets/d/1IYY_tgx_IHuhSq3AJ5eI5OnqOPBNLWSHKh2a30DoXe8/edit?usp=sharing"",""ชุมพร!J322"")"),30)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IFERROR(__xludf.DUMMYFUNCTION("IMPORTRANGE(""https://docs.google.com/spreadsheets/d/1IYY_tgx_IHuhSq3AJ5eI5OnqOPBNLWSHKh2a30DoXe8/edit?usp=sharing"",""ชุมพร!I323"")"),10)</f>
        <v>10</v>
      </c>
      <c r="J428" s="400">
        <f ca="1">IFERROR(__xludf.DUMMYFUNCTION("IMPORTRANGE(""https://docs.google.com/spreadsheets/d/1IYY_tgx_IHuhSq3AJ5eI5OnqOPBNLWSHKh2a30DoXe8/edit?usp=sharing"",""ชุมพร!J323"")"),10)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IFERROR(__xludf.DUMMYFUNCTION("IMPORTRANGE(""https://docs.google.com/spreadsheets/d/1IYY_tgx_IHuhSq3AJ5eI5OnqOPBNLWSHKh2a30DoXe8/edit?usp=sharing"",""ชุมพร!I324"")"),10)</f>
        <v>10</v>
      </c>
      <c r="J429" s="400">
        <f ca="1">IFERROR(__xludf.DUMMYFUNCTION("IMPORTRANGE(""https://docs.google.com/spreadsheets/d/1IYY_tgx_IHuhSq3AJ5eI5OnqOPBNLWSHKh2a30DoXe8/edit?usp=sharing"",""ชุมพร!J324"")"),0)</f>
        <v>0</v>
      </c>
      <c r="K429" s="167">
        <f t="shared" ca="1" si="113"/>
        <v>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IFERROR(__xludf.DUMMYFUNCTION("IMPORTRANGE(""https://docs.google.com/spreadsheets/d/1IYY_tgx_IHuhSq3AJ5eI5OnqOPBNLWSHKh2a30DoXe8/edit?usp=sharing"",""ชุมพร!I325"")"),35)</f>
        <v>35</v>
      </c>
      <c r="J430" s="398">
        <f ca="1">IFERROR(__xludf.DUMMYFUNCTION("IMPORTRANGE(""https://docs.google.com/spreadsheets/d/1IYY_tgx_IHuhSq3AJ5eI5OnqOPBNLWSHKh2a30DoXe8/edit?usp=sharing"",""ชุมพร!J325"")"),0)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IFERROR(__xludf.DUMMYFUNCTION("IMPORTRANGE(""https://docs.google.com/spreadsheets/d/1IYY_tgx_IHuhSq3AJ5eI5OnqOPBNLWSHKh2a30DoXe8/edit?usp=sharing"",""ชุมพร!I326"")"),10)</f>
        <v>10</v>
      </c>
      <c r="J431" s="400">
        <f ca="1">IFERROR(__xludf.DUMMYFUNCTION("IMPORTRANGE(""https://docs.google.com/spreadsheets/d/1IYY_tgx_IHuhSq3AJ5eI5OnqOPBNLWSHKh2a30DoXe8/edit?usp=sharing"",""ชุมพร!J326"")"),0)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IFERROR(__xludf.DUMMYFUNCTION("IMPORTRANGE(""https://docs.google.com/spreadsheets/d/1IYY_tgx_IHuhSq3AJ5eI5OnqOPBNLWSHKh2a30DoXe8/edit?usp=sharing"",""ชุมพร!I327"")"),25)</f>
        <v>25</v>
      </c>
      <c r="J432" s="400">
        <f ca="1">IFERROR(__xludf.DUMMYFUNCTION("IMPORTRANGE(""https://docs.google.com/spreadsheets/d/1IYY_tgx_IHuhSq3AJ5eI5OnqOPBNLWSHKh2a30DoXe8/edit?usp=sharing"",""ชุมพร!J327"")"),0)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IFERROR(__xludf.DUMMYFUNCTION("IMPORTRANGE(""https://docs.google.com/spreadsheets/d/1IYY_tgx_IHuhSq3AJ5eI5OnqOPBNLWSHKh2a30DoXe8/edit?usp=sharing"",""ชุมพร!J328"")"),0)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IFERROR(__xludf.DUMMYFUNCTION("IMPORTRANGE(""https://docs.google.com/spreadsheets/d/1IYY_tgx_IHuhSq3AJ5eI5OnqOPBNLWSHKh2a30DoXe8/edit?usp=sharing"",""ชุมพร!J329"")"),0)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IFERROR(__xludf.DUMMYFUNCTION("IMPORTRANGE(""https://docs.google.com/spreadsheets/d/1IYY_tgx_IHuhSq3AJ5eI5OnqOPBNLWSHKh2a30DoXe8/edit?usp=sharing"",""ชุมพร!I330"")"),60)</f>
        <v>60</v>
      </c>
      <c r="J435" s="416">
        <f ca="1">IFERROR(__xludf.DUMMYFUNCTION("IMPORTRANGE(""https://docs.google.com/spreadsheets/d/1IYY_tgx_IHuhSq3AJ5eI5OnqOPBNLWSHKh2a30DoXe8/edit?usp=sharing"",""ชุมพร!J330"")"),60)</f>
        <v>60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IFERROR(__xludf.DUMMYFUNCTION("IMPORTRANGE(""https://docs.google.com/spreadsheets/d/1IYY_tgx_IHuhSq3AJ5eI5OnqOPBNLWSHKh2a30DoXe8/edit?usp=sharing"",""ชุมพร!L330"")"),197600)</f>
        <v>197600</v>
      </c>
      <c r="M435" s="418"/>
      <c r="N435" s="418">
        <f ca="1">IFERROR(__xludf.DUMMYFUNCTION("IMPORTRANGE(""https://docs.google.com/spreadsheets/d/1IYY_tgx_IHuhSq3AJ5eI5OnqOPBNLWSHKh2a30DoXe8/edit?usp=sharing"",""ชุมพร!M330"")"),172760.63)</f>
        <v>172760.63</v>
      </c>
      <c r="O435" s="418">
        <f t="shared" ref="O435:O439" ca="1" si="114">+IF(L435&gt;0,N435*100/L435,0)</f>
        <v>87.429468623481782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IFERROR(__xludf.DUMMYFUNCTION("IMPORTRANGE(""https://docs.google.com/spreadsheets/d/1IYY_tgx_IHuhSq3AJ5eI5OnqOPBNLWSHKh2a30DoXe8/edit?usp=sharing"",""ชุมพร!L331"")"),0)</f>
        <v>0</v>
      </c>
      <c r="M436" s="168"/>
      <c r="N436" s="175">
        <f ca="1">IFERROR(__xludf.DUMMYFUNCTION("IMPORTRANGE(""https://docs.google.com/spreadsheets/d/1IYY_tgx_IHuhSq3AJ5eI5OnqOPBNLWSHKh2a30DoXe8/edit?usp=sharing"",""ชุมพร!M331"")"),0)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IFERROR(__xludf.DUMMYFUNCTION("IMPORTRANGE(""https://docs.google.com/spreadsheets/d/1IYY_tgx_IHuhSq3AJ5eI5OnqOPBNLWSHKh2a30DoXe8/edit?usp=sharing"",""ชุมพร!L332"")"),197600)</f>
        <v>197600</v>
      </c>
      <c r="M437" s="169"/>
      <c r="N437" s="175">
        <f ca="1">IFERROR(__xludf.DUMMYFUNCTION("IMPORTRANGE(""https://docs.google.com/spreadsheets/d/1IYY_tgx_IHuhSq3AJ5eI5OnqOPBNLWSHKh2a30DoXe8/edit?usp=sharing"",""ชุมพร!M332"")"),172760.63)</f>
        <v>172760.63</v>
      </c>
      <c r="O437" s="175">
        <f t="shared" ca="1" si="114"/>
        <v>87.429468623481782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IFERROR(__xludf.DUMMYFUNCTION("IMPORTRANGE(""https://docs.google.com/spreadsheets/d/1IYY_tgx_IHuhSq3AJ5eI5OnqOPBNLWSHKh2a30DoXe8/edit?usp=sharing"",""ชุมพร!L333"")"),0)</f>
        <v>0</v>
      </c>
      <c r="M438" s="175"/>
      <c r="N438" s="175">
        <f ca="1">IFERROR(__xludf.DUMMYFUNCTION("IMPORTRANGE(""https://docs.google.com/spreadsheets/d/1IYY_tgx_IHuhSq3AJ5eI5OnqOPBNLWSHKh2a30DoXe8/edit?usp=sharing"",""ชุมพร!M333"")"),0)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IFERROR(__xludf.DUMMYFUNCTION("IMPORTRANGE(""https://docs.google.com/spreadsheets/d/1IYY_tgx_IHuhSq3AJ5eI5OnqOPBNLWSHKh2a30DoXe8/edit?usp=sharing"",""ชุมพร!L334"")"),197600)</f>
        <v>197600</v>
      </c>
      <c r="M439" s="175"/>
      <c r="N439" s="175">
        <f ca="1">IFERROR(__xludf.DUMMYFUNCTION("IMPORTRANGE(""https://docs.google.com/spreadsheets/d/1IYY_tgx_IHuhSq3AJ5eI5OnqOPBNLWSHKh2a30DoXe8/edit?usp=sharing"",""ชุมพร!M334"")"),172760.63)</f>
        <v>172760.63</v>
      </c>
      <c r="O439" s="175">
        <f t="shared" ca="1" si="114"/>
        <v>87.429468623481782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IFERROR(__xludf.DUMMYFUNCTION("IMPORTRANGE(""https://docs.google.com/spreadsheets/d/1IYY_tgx_IHuhSq3AJ5eI5OnqOPBNLWSHKh2a30DoXe8/edit?usp=sharing"",""ชุมพร!M335"")"),125780)</f>
        <v>125780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IFERROR(__xludf.DUMMYFUNCTION("IMPORTRANGE(""https://docs.google.com/spreadsheets/d/1IYY_tgx_IHuhSq3AJ5eI5OnqOPBNLWSHKh2a30DoXe8/edit?usp=sharing"",""ชุมพร!M336"")"),0)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IFERROR(__xludf.DUMMYFUNCTION("IMPORTRANGE(""https://docs.google.com/spreadsheets/d/1IYY_tgx_IHuhSq3AJ5eI5OnqOPBNLWSHKh2a30DoXe8/edit?usp=sharing"",""ชุมพร!M337"")"),0)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IFERROR(__xludf.DUMMYFUNCTION("IMPORTRANGE(""https://docs.google.com/spreadsheets/d/1IYY_tgx_IHuhSq3AJ5eI5OnqOPBNLWSHKh2a30DoXe8/edit?usp=sharing"",""ชุมพร!M338"")"),46980.63)</f>
        <v>46980.63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IFERROR(__xludf.DUMMYFUNCTION("IMPORTRANGE(""https://docs.google.com/spreadsheets/d/1IYY_tgx_IHuhSq3AJ5eI5OnqOPBNLWSHKh2a30DoXe8/edit?usp=sharing"",""ชุมพร!J340"")"),0)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IFERROR(__xludf.DUMMYFUNCTION("IMPORTRANGE(""https://docs.google.com/spreadsheets/d/1IYY_tgx_IHuhSq3AJ5eI5OnqOPBNLWSHKh2a30DoXe8/edit?usp=sharing"",""ชุมพร!J341"")"),1)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IFERROR(__xludf.DUMMYFUNCTION("IMPORTRANGE(""https://docs.google.com/spreadsheets/d/1IYY_tgx_IHuhSq3AJ5eI5OnqOPBNLWSHKh2a30DoXe8/edit?usp=sharing"",""ชุมพร!J342"")"),1)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IFERROR(__xludf.DUMMYFUNCTION("IMPORTRANGE(""https://docs.google.com/spreadsheets/d/1IYY_tgx_IHuhSq3AJ5eI5OnqOPBNLWSHKh2a30DoXe8/edit?usp=sharing"",""ชุมพร!J343"")"),1)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IFERROR(__xludf.DUMMYFUNCTION("IMPORTRANGE(""https://docs.google.com/spreadsheets/d/1IYY_tgx_IHuhSq3AJ5eI5OnqOPBNLWSHKh2a30DoXe8/edit?usp=sharing"",""ชุมพร!I344"")"),60)</f>
        <v>60</v>
      </c>
      <c r="J449" s="207">
        <f ca="1">IFERROR(__xludf.DUMMYFUNCTION("IMPORTRANGE(""https://docs.google.com/spreadsheets/d/1IYY_tgx_IHuhSq3AJ5eI5OnqOPBNLWSHKh2a30DoXe8/edit?usp=sharing"",""ชุมพร!J344"")"),60)</f>
        <v>60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IFERROR(__xludf.DUMMYFUNCTION("IMPORTRANGE(""https://docs.google.com/spreadsheets/d/1IYY_tgx_IHuhSq3AJ5eI5OnqOPBNLWSHKh2a30DoXe8/edit?usp=sharing"",""ชุมพร!I345"")"),20)</f>
        <v>20</v>
      </c>
      <c r="J450" s="195">
        <f ca="1">IFERROR(__xludf.DUMMYFUNCTION("IMPORTRANGE(""https://docs.google.com/spreadsheets/d/1IYY_tgx_IHuhSq3AJ5eI5OnqOPBNLWSHKh2a30DoXe8/edit?usp=sharing"",""ชุมพร!J345"")"),20)</f>
        <v>20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IFERROR(__xludf.DUMMYFUNCTION("IMPORTRANGE(""https://docs.google.com/spreadsheets/d/1IYY_tgx_IHuhSq3AJ5eI5OnqOPBNLWSHKh2a30DoXe8/edit?usp=sharing"",""ชุมพร!I346"")"),40)</f>
        <v>40</v>
      </c>
      <c r="J451" s="194">
        <f ca="1">IFERROR(__xludf.DUMMYFUNCTION("IMPORTRANGE(""https://docs.google.com/spreadsheets/d/1IYY_tgx_IHuhSq3AJ5eI5OnqOPBNLWSHKh2a30DoXe8/edit?usp=sharing"",""ชุมพร!J346"")"),40)</f>
        <v>40</v>
      </c>
      <c r="K451" s="167">
        <f t="shared" ca="1" si="115"/>
        <v>100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IFERROR(__xludf.DUMMYFUNCTION("IMPORTRANGE(""https://docs.google.com/spreadsheets/d/1IYY_tgx_IHuhSq3AJ5eI5OnqOPBNLWSHKh2a30DoXe8/edit?usp=sharing"",""ชุมพร!I347"")"),0)</f>
        <v>0</v>
      </c>
      <c r="J452" s="194">
        <f ca="1">IFERROR(__xludf.DUMMYFUNCTION("IMPORTRANGE(""https://docs.google.com/spreadsheets/d/1IYY_tgx_IHuhSq3AJ5eI5OnqOPBNLWSHKh2a30DoXe8/edit?usp=sharing"",""ชุมพร!J347"")"),0)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IFERROR(__xludf.DUMMYFUNCTION("IMPORTRANGE(""https://docs.google.com/spreadsheets/d/1IYY_tgx_IHuhSq3AJ5eI5OnqOPBNLWSHKh2a30DoXe8/edit?usp=sharing"",""ชุมพร!J348"")"),0)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IFERROR(__xludf.DUMMYFUNCTION("IMPORTRANGE(""https://docs.google.com/spreadsheets/d/1IYY_tgx_IHuhSq3AJ5eI5OnqOPBNLWSHKh2a30DoXe8/edit?usp=sharing"",""ชุมพร!J349"")"),0)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IFERROR(__xludf.DUMMYFUNCTION("IMPORTRANGE(""https://docs.google.com/spreadsheets/d/1IYY_tgx_IHuhSq3AJ5eI5OnqOPBNLWSHKh2a30DoXe8/edit?usp=sharing"",""ชุมพร!I350"")"),108087)</f>
        <v>108087</v>
      </c>
      <c r="J455" s="377">
        <f ca="1">IFERROR(__xludf.DUMMYFUNCTION("IMPORTRANGE(""https://docs.google.com/spreadsheets/d/1IYY_tgx_IHuhSq3AJ5eI5OnqOPBNLWSHKh2a30DoXe8/edit?usp=sharing"",""ชุมพร!J350"")"),0)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IFERROR(__xludf.DUMMYFUNCTION("IMPORTRANGE(""https://docs.google.com/spreadsheets/d/1IYY_tgx_IHuhSq3AJ5eI5OnqOPBNLWSHKh2a30DoXe8/edit?usp=sharing"",""ชุมพร!L350"")"),710356.56)</f>
        <v>710356.56</v>
      </c>
      <c r="M455" s="379"/>
      <c r="N455" s="379">
        <f ca="1">IFERROR(__xludf.DUMMYFUNCTION("IMPORTRANGE(""https://docs.google.com/spreadsheets/d/1IYY_tgx_IHuhSq3AJ5eI5OnqOPBNLWSHKh2a30DoXe8/edit?usp=sharing"",""ชุมพร!M350"")"),158607.73)</f>
        <v>158607.73000000001</v>
      </c>
      <c r="O455" s="379">
        <f t="shared" ref="O455:O459" ca="1" si="116">+IF(L455&gt;0,N455*100/L455,0)</f>
        <v>22.32790389096991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IFERROR(__xludf.DUMMYFUNCTION("IMPORTRANGE(""https://docs.google.com/spreadsheets/d/1IYY_tgx_IHuhSq3AJ5eI5OnqOPBNLWSHKh2a30DoXe8/edit?usp=sharing"",""ชุมพร!L351"")"),0)</f>
        <v>0</v>
      </c>
      <c r="M456" s="168"/>
      <c r="N456" s="175">
        <f ca="1">IFERROR(__xludf.DUMMYFUNCTION("IMPORTRANGE(""https://docs.google.com/spreadsheets/d/1IYY_tgx_IHuhSq3AJ5eI5OnqOPBNLWSHKh2a30DoXe8/edit?usp=sharing"",""ชุมพร!M351"")"),0)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IFERROR(__xludf.DUMMYFUNCTION("IMPORTRANGE(""https://docs.google.com/spreadsheets/d/1IYY_tgx_IHuhSq3AJ5eI5OnqOPBNLWSHKh2a30DoXe8/edit?usp=sharing"",""ชุมพร!L352"")"),710356.56)</f>
        <v>710356.56</v>
      </c>
      <c r="M457" s="169"/>
      <c r="N457" s="175">
        <f ca="1">IFERROR(__xludf.DUMMYFUNCTION("IMPORTRANGE(""https://docs.google.com/spreadsheets/d/1IYY_tgx_IHuhSq3AJ5eI5OnqOPBNLWSHKh2a30DoXe8/edit?usp=sharing"",""ชุมพร!M352"")"),158607.73)</f>
        <v>158607.73000000001</v>
      </c>
      <c r="O457" s="175">
        <f t="shared" ca="1" si="116"/>
        <v>22.32790389096991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IFERROR(__xludf.DUMMYFUNCTION("IMPORTRANGE(""https://docs.google.com/spreadsheets/d/1IYY_tgx_IHuhSq3AJ5eI5OnqOPBNLWSHKh2a30DoXe8/edit?usp=sharing"",""ชุมพร!L353"")"),0)</f>
        <v>0</v>
      </c>
      <c r="M458" s="175"/>
      <c r="N458" s="175">
        <f ca="1">IFERROR(__xludf.DUMMYFUNCTION("IMPORTRANGE(""https://docs.google.com/spreadsheets/d/1IYY_tgx_IHuhSq3AJ5eI5OnqOPBNLWSHKh2a30DoXe8/edit?usp=sharing"",""ชุมพร!M353"")"),0)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IFERROR(__xludf.DUMMYFUNCTION("IMPORTRANGE(""https://docs.google.com/spreadsheets/d/1IYY_tgx_IHuhSq3AJ5eI5OnqOPBNLWSHKh2a30DoXe8/edit?usp=sharing"",""ชุมพร!L354"")"),710356.56)</f>
        <v>710356.56</v>
      </c>
      <c r="M459" s="175"/>
      <c r="N459" s="175">
        <f ca="1">IFERROR(__xludf.DUMMYFUNCTION("IMPORTRANGE(""https://docs.google.com/spreadsheets/d/1IYY_tgx_IHuhSq3AJ5eI5OnqOPBNLWSHKh2a30DoXe8/edit?usp=sharing"",""ชุมพร!M354"")"),158607.73)</f>
        <v>158607.73000000001</v>
      </c>
      <c r="O459" s="175">
        <f t="shared" ca="1" si="116"/>
        <v>22.32790389096991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IFERROR(__xludf.DUMMYFUNCTION("IMPORTRANGE(""https://docs.google.com/spreadsheets/d/1IYY_tgx_IHuhSq3AJ5eI5OnqOPBNLWSHKh2a30DoXe8/edit?usp=sharing"",""ชุมพร!M355"")"),0)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IFERROR(__xludf.DUMMYFUNCTION("IMPORTRANGE(""https://docs.google.com/spreadsheets/d/1IYY_tgx_IHuhSq3AJ5eI5OnqOPBNLWSHKh2a30DoXe8/edit?usp=sharing"",""ชุมพร!M356"")"),0)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IFERROR(__xludf.DUMMYFUNCTION("IMPORTRANGE(""https://docs.google.com/spreadsheets/d/1IYY_tgx_IHuhSq3AJ5eI5OnqOPBNLWSHKh2a30DoXe8/edit?usp=sharing"",""ชุมพร!M357"")"),52808)</f>
        <v>52808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IFERROR(__xludf.DUMMYFUNCTION("IMPORTRANGE(""https://docs.google.com/spreadsheets/d/1IYY_tgx_IHuhSq3AJ5eI5OnqOPBNLWSHKh2a30DoXe8/edit?usp=sharing"",""ชุมพร!M358"")"),105799.73)</f>
        <v>105799.73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IFERROR(__xludf.DUMMYFUNCTION("IMPORTRANGE(""https://docs.google.com/spreadsheets/d/1IYY_tgx_IHuhSq3AJ5eI5OnqOPBNLWSHKh2a30DoXe8/edit?usp=sharing"",""ชุมพร!I359"")"),108087)</f>
        <v>108087</v>
      </c>
      <c r="J464" s="273">
        <f ca="1">IFERROR(__xludf.DUMMYFUNCTION("IMPORTRANGE(""https://docs.google.com/spreadsheets/d/1IYY_tgx_IHuhSq3AJ5eI5OnqOPBNLWSHKh2a30DoXe8/edit?usp=sharing"",""ชุมพร!J359"")"),0)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IFERROR(__xludf.DUMMYFUNCTION("IMPORTRANGE(""https://docs.google.com/spreadsheets/d/1IYY_tgx_IHuhSq3AJ5eI5OnqOPBNLWSHKh2a30DoXe8/edit?usp=sharing"",""ชุมพร!I360"")"),108087)</f>
        <v>108087</v>
      </c>
      <c r="J465" s="426">
        <f ca="1">IFERROR(__xludf.DUMMYFUNCTION("IMPORTRANGE(""https://docs.google.com/spreadsheets/d/1IYY_tgx_IHuhSq3AJ5eI5OnqOPBNLWSHKh2a30DoXe8/edit?usp=sharing"",""ชุมพร!J360"")"),108088)</f>
        <v>108088</v>
      </c>
      <c r="K465" s="208">
        <f t="shared" ca="1" si="117"/>
        <v>100.00092518064152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IFERROR(__xludf.DUMMYFUNCTION("IMPORTRANGE(""https://docs.google.com/spreadsheets/d/1IYY_tgx_IHuhSq3AJ5eI5OnqOPBNLWSHKh2a30DoXe8/edit?usp=sharing"",""ชุมพร!I361"")"),10641)</f>
        <v>10641</v>
      </c>
      <c r="J466" s="426">
        <f ca="1">IFERROR(__xludf.DUMMYFUNCTION("IMPORTRANGE(""https://docs.google.com/spreadsheets/d/1IYY_tgx_IHuhSq3AJ5eI5OnqOPBNLWSHKh2a30DoXe8/edit?usp=sharing"",""ชุมพร!J361"")"),10641)</f>
        <v>10641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IFERROR(__xludf.DUMMYFUNCTION("IMPORTRANGE(""https://docs.google.com/spreadsheets/d/1IYY_tgx_IHuhSq3AJ5eI5OnqOPBNLWSHKh2a30DoXe8/edit?usp=sharing"",""ชุมพร!I362"")"),0)</f>
        <v>0</v>
      </c>
      <c r="J467" s="195">
        <f ca="1">IFERROR(__xludf.DUMMYFUNCTION("IMPORTRANGE(""https://docs.google.com/spreadsheets/d/1IYY_tgx_IHuhSq3AJ5eI5OnqOPBNLWSHKh2a30DoXe8/edit?usp=sharing"",""ชุมพร!J362"")"),90777)</f>
        <v>90777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IFERROR(__xludf.DUMMYFUNCTION("IMPORTRANGE(""https://docs.google.com/spreadsheets/d/1IYY_tgx_IHuhSq3AJ5eI5OnqOPBNLWSHKh2a30DoXe8/edit?usp=sharing"",""ชุมพร!I363"")"),0)</f>
        <v>0</v>
      </c>
      <c r="J468" s="195">
        <f ca="1">IFERROR(__xludf.DUMMYFUNCTION("IMPORTRANGE(""https://docs.google.com/spreadsheets/d/1IYY_tgx_IHuhSq3AJ5eI5OnqOPBNLWSHKh2a30DoXe8/edit?usp=sharing"",""ชุมพร!J363"")"),8917)</f>
        <v>8917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IFERROR(__xludf.DUMMYFUNCTION("IMPORTRANGE(""https://docs.google.com/spreadsheets/d/1IYY_tgx_IHuhSq3AJ5eI5OnqOPBNLWSHKh2a30DoXe8/edit?usp=sharing"",""ชุมพร!I364"")"),0)</f>
        <v>0</v>
      </c>
      <c r="J469" s="195">
        <f ca="1">IFERROR(__xludf.DUMMYFUNCTION("IMPORTRANGE(""https://docs.google.com/spreadsheets/d/1IYY_tgx_IHuhSq3AJ5eI5OnqOPBNLWSHKh2a30DoXe8/edit?usp=sharing"",""ชุมพร!J364"")"),15323)</f>
        <v>15323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IFERROR(__xludf.DUMMYFUNCTION("IMPORTRANGE(""https://docs.google.com/spreadsheets/d/1IYY_tgx_IHuhSq3AJ5eI5OnqOPBNLWSHKh2a30DoXe8/edit?usp=sharing"",""ชุมพร!I365"")"),0)</f>
        <v>0</v>
      </c>
      <c r="J470" s="195">
        <f ca="1">IFERROR(__xludf.DUMMYFUNCTION("IMPORTRANGE(""https://docs.google.com/spreadsheets/d/1IYY_tgx_IHuhSq3AJ5eI5OnqOPBNLWSHKh2a30DoXe8/edit?usp=sharing"",""ชุมพร!J365"")"),1533)</f>
        <v>1533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IFERROR(__xludf.DUMMYFUNCTION("IMPORTRANGE(""https://docs.google.com/spreadsheets/d/1IYY_tgx_IHuhSq3AJ5eI5OnqOPBNLWSHKh2a30DoXe8/edit?usp=sharing"",""ชุมพร!I366"")"),0)</f>
        <v>0</v>
      </c>
      <c r="J471" s="195">
        <f ca="1">IFERROR(__xludf.DUMMYFUNCTION("IMPORTRANGE(""https://docs.google.com/spreadsheets/d/1IYY_tgx_IHuhSq3AJ5eI5OnqOPBNLWSHKh2a30DoXe8/edit?usp=sharing"",""ชุมพร!J366"")"),1988)</f>
        <v>1988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IFERROR(__xludf.DUMMYFUNCTION("IMPORTRANGE(""https://docs.google.com/spreadsheets/d/1IYY_tgx_IHuhSq3AJ5eI5OnqOPBNLWSHKh2a30DoXe8/edit?usp=sharing"",""ชุมพร!I367"")"),0)</f>
        <v>0</v>
      </c>
      <c r="J472" s="195">
        <f ca="1">IFERROR(__xludf.DUMMYFUNCTION("IMPORTRANGE(""https://docs.google.com/spreadsheets/d/1IYY_tgx_IHuhSq3AJ5eI5OnqOPBNLWSHKh2a30DoXe8/edit?usp=sharing"",""ชุมพร!J367"")"),191)</f>
        <v>191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IFERROR(__xludf.DUMMYFUNCTION("IMPORTRANGE(""https://docs.google.com/spreadsheets/d/1IYY_tgx_IHuhSq3AJ5eI5OnqOPBNLWSHKh2a30DoXe8/edit?usp=sharing"",""ชุมพร!I368"")"),108087)</f>
        <v>108087</v>
      </c>
      <c r="J473" s="426">
        <f ca="1">IFERROR(__xludf.DUMMYFUNCTION("IMPORTRANGE(""https://docs.google.com/spreadsheets/d/1IYY_tgx_IHuhSq3AJ5eI5OnqOPBNLWSHKh2a30DoXe8/edit?usp=sharing"",""ชุมพร!J368"")"),0)</f>
        <v>0</v>
      </c>
      <c r="K473" s="208">
        <f t="shared" ca="1" si="117"/>
        <v>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IFERROR(__xludf.DUMMYFUNCTION("IMPORTRANGE(""https://docs.google.com/spreadsheets/d/1IYY_tgx_IHuhSq3AJ5eI5OnqOPBNLWSHKh2a30DoXe8/edit?usp=sharing"",""ชุมพร!I369"")"),10641)</f>
        <v>10641</v>
      </c>
      <c r="J474" s="426">
        <f ca="1">IFERROR(__xludf.DUMMYFUNCTION("IMPORTRANGE(""https://docs.google.com/spreadsheets/d/1IYY_tgx_IHuhSq3AJ5eI5OnqOPBNLWSHKh2a30DoXe8/edit?usp=sharing"",""ชุมพร!J369"")"),0)</f>
        <v>0</v>
      </c>
      <c r="K474" s="167">
        <f t="shared" ca="1" si="117"/>
        <v>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IFERROR(__xludf.DUMMYFUNCTION("IMPORTRANGE(""https://docs.google.com/spreadsheets/d/1IYY_tgx_IHuhSq3AJ5eI5OnqOPBNLWSHKh2a30DoXe8/edit?usp=sharing"",""ชุมพร!I370"")"),0)</f>
        <v>0</v>
      </c>
      <c r="J475" s="195">
        <f ca="1">IFERROR(__xludf.DUMMYFUNCTION("IMPORTRANGE(""https://docs.google.com/spreadsheets/d/1IYY_tgx_IHuhSq3AJ5eI5OnqOPBNLWSHKh2a30DoXe8/edit?usp=sharing"",""ชุมพร!J370"")"),0)</f>
        <v>0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IFERROR(__xludf.DUMMYFUNCTION("IMPORTRANGE(""https://docs.google.com/spreadsheets/d/1IYY_tgx_IHuhSq3AJ5eI5OnqOPBNLWSHKh2a30DoXe8/edit?usp=sharing"",""ชุมพร!I371"")"),0)</f>
        <v>0</v>
      </c>
      <c r="J476" s="195">
        <f ca="1">IFERROR(__xludf.DUMMYFUNCTION("IMPORTRANGE(""https://docs.google.com/spreadsheets/d/1IYY_tgx_IHuhSq3AJ5eI5OnqOPBNLWSHKh2a30DoXe8/edit?usp=sharing"",""ชุมพร!J371"")"),0)</f>
        <v>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IFERROR(__xludf.DUMMYFUNCTION("IMPORTRANGE(""https://docs.google.com/spreadsheets/d/1IYY_tgx_IHuhSq3AJ5eI5OnqOPBNLWSHKh2a30DoXe8/edit?usp=sharing"",""ชุมพร!I372"")"),0)</f>
        <v>0</v>
      </c>
      <c r="J477" s="195">
        <f ca="1">IFERROR(__xludf.DUMMYFUNCTION("IMPORTRANGE(""https://docs.google.com/spreadsheets/d/1IYY_tgx_IHuhSq3AJ5eI5OnqOPBNLWSHKh2a30DoXe8/edit?usp=sharing"",""ชุมพร!J372"")"),0)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IFERROR(__xludf.DUMMYFUNCTION("IMPORTRANGE(""https://docs.google.com/spreadsheets/d/1IYY_tgx_IHuhSq3AJ5eI5OnqOPBNLWSHKh2a30DoXe8/edit?usp=sharing"",""ชุมพร!I373"")"),0)</f>
        <v>0</v>
      </c>
      <c r="J478" s="195">
        <f ca="1">IFERROR(__xludf.DUMMYFUNCTION("IMPORTRANGE(""https://docs.google.com/spreadsheets/d/1IYY_tgx_IHuhSq3AJ5eI5OnqOPBNLWSHKh2a30DoXe8/edit?usp=sharing"",""ชุมพร!J373"")"),0)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IFERROR(__xludf.DUMMYFUNCTION("IMPORTRANGE(""https://docs.google.com/spreadsheets/d/1IYY_tgx_IHuhSq3AJ5eI5OnqOPBNLWSHKh2a30DoXe8/edit?usp=sharing"",""ชุมพร!I374"")"),0)</f>
        <v>0</v>
      </c>
      <c r="J479" s="195">
        <f ca="1">IFERROR(__xludf.DUMMYFUNCTION("IMPORTRANGE(""https://docs.google.com/spreadsheets/d/1IYY_tgx_IHuhSq3AJ5eI5OnqOPBNLWSHKh2a30DoXe8/edit?usp=sharing"",""ชุมพร!J374"")"),0)</f>
        <v>0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IFERROR(__xludf.DUMMYFUNCTION("IMPORTRANGE(""https://docs.google.com/spreadsheets/d/1IYY_tgx_IHuhSq3AJ5eI5OnqOPBNLWSHKh2a30DoXe8/edit?usp=sharing"",""ชุมพร!I375"")"),0)</f>
        <v>0</v>
      </c>
      <c r="J480" s="195">
        <f ca="1">IFERROR(__xludf.DUMMYFUNCTION("IMPORTRANGE(""https://docs.google.com/spreadsheets/d/1IYY_tgx_IHuhSq3AJ5eI5OnqOPBNLWSHKh2a30DoXe8/edit?usp=sharing"",""ชุมพร!J375"")"),0)</f>
        <v>0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IFERROR(__xludf.DUMMYFUNCTION("IMPORTRANGE(""https://docs.google.com/spreadsheets/d/1IYY_tgx_IHuhSq3AJ5eI5OnqOPBNLWSHKh2a30DoXe8/edit?usp=sharing"",""ชุมพร!I376"")"),108087)</f>
        <v>108087</v>
      </c>
      <c r="J481" s="426">
        <f ca="1">IFERROR(__xludf.DUMMYFUNCTION("IMPORTRANGE(""https://docs.google.com/spreadsheets/d/1IYY_tgx_IHuhSq3AJ5eI5OnqOPBNLWSHKh2a30DoXe8/edit?usp=sharing"",""ชุมพร!J376"")"),0)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IFERROR(__xludf.DUMMYFUNCTION("IMPORTRANGE(""https://docs.google.com/spreadsheets/d/1IYY_tgx_IHuhSq3AJ5eI5OnqOPBNLWSHKh2a30DoXe8/edit?usp=sharing"",""ชุมพร!I377"")"),10641)</f>
        <v>10641</v>
      </c>
      <c r="J482" s="426">
        <f ca="1">IFERROR(__xludf.DUMMYFUNCTION("IMPORTRANGE(""https://docs.google.com/spreadsheets/d/1IYY_tgx_IHuhSq3AJ5eI5OnqOPBNLWSHKh2a30DoXe8/edit?usp=sharing"",""ชุมพร!J377"")"),0)</f>
        <v>0</v>
      </c>
      <c r="K482" s="167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IFERROR(__xludf.DUMMYFUNCTION("IMPORTRANGE(""https://docs.google.com/spreadsheets/d/1IYY_tgx_IHuhSq3AJ5eI5OnqOPBNLWSHKh2a30DoXe8/edit?usp=sharing"",""ชุมพร!I378"")"),0)</f>
        <v>0</v>
      </c>
      <c r="J483" s="195">
        <f ca="1">IFERROR(__xludf.DUMMYFUNCTION("IMPORTRANGE(""https://docs.google.com/spreadsheets/d/1IYY_tgx_IHuhSq3AJ5eI5OnqOPBNLWSHKh2a30DoXe8/edit?usp=sharing"",""ชุมพร!J378"")"),0)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IFERROR(__xludf.DUMMYFUNCTION("IMPORTRANGE(""https://docs.google.com/spreadsheets/d/1IYY_tgx_IHuhSq3AJ5eI5OnqOPBNLWSHKh2a30DoXe8/edit?usp=sharing"",""ชุมพร!I379"")"),0)</f>
        <v>0</v>
      </c>
      <c r="J484" s="195">
        <f ca="1">IFERROR(__xludf.DUMMYFUNCTION("IMPORTRANGE(""https://docs.google.com/spreadsheets/d/1IYY_tgx_IHuhSq3AJ5eI5OnqOPBNLWSHKh2a30DoXe8/edit?usp=sharing"",""ชุมพร!J379"")"),0)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IFERROR(__xludf.DUMMYFUNCTION("IMPORTRANGE(""https://docs.google.com/spreadsheets/d/1IYY_tgx_IHuhSq3AJ5eI5OnqOPBNLWSHKh2a30DoXe8/edit?usp=sharing"",""ชุมพร!I380"")"),0)</f>
        <v>0</v>
      </c>
      <c r="J485" s="195">
        <f ca="1">IFERROR(__xludf.DUMMYFUNCTION("IMPORTRANGE(""https://docs.google.com/spreadsheets/d/1IYY_tgx_IHuhSq3AJ5eI5OnqOPBNLWSHKh2a30DoXe8/edit?usp=sharing"",""ชุมพร!J380"")"),0)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IFERROR(__xludf.DUMMYFUNCTION("IMPORTRANGE(""https://docs.google.com/spreadsheets/d/1IYY_tgx_IHuhSq3AJ5eI5OnqOPBNLWSHKh2a30DoXe8/edit?usp=sharing"",""ชุมพร!I381"")"),0)</f>
        <v>0</v>
      </c>
      <c r="J486" s="195">
        <f ca="1">IFERROR(__xludf.DUMMYFUNCTION("IMPORTRANGE(""https://docs.google.com/spreadsheets/d/1IYY_tgx_IHuhSq3AJ5eI5OnqOPBNLWSHKh2a30DoXe8/edit?usp=sharing"",""ชุมพร!J381"")"),0)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IFERROR(__xludf.DUMMYFUNCTION("IMPORTRANGE(""https://docs.google.com/spreadsheets/d/1IYY_tgx_IHuhSq3AJ5eI5OnqOPBNLWSHKh2a30DoXe8/edit?usp=sharing"",""ชุมพร!I382"")"),0)</f>
        <v>0</v>
      </c>
      <c r="J487" s="426">
        <f ca="1">IFERROR(__xludf.DUMMYFUNCTION("IMPORTRANGE(""https://docs.google.com/spreadsheets/d/1IYY_tgx_IHuhSq3AJ5eI5OnqOPBNLWSHKh2a30DoXe8/edit?usp=sharing"",""ชุมพร!J382"")"),0)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IFERROR(__xludf.DUMMYFUNCTION("IMPORTRANGE(""https://docs.google.com/spreadsheets/d/1IYY_tgx_IHuhSq3AJ5eI5OnqOPBNLWSHKh2a30DoXe8/edit?usp=sharing"",""ชุมพร!I383"")"),0)</f>
        <v>0</v>
      </c>
      <c r="J488" s="426">
        <f ca="1">IFERROR(__xludf.DUMMYFUNCTION("IMPORTRANGE(""https://docs.google.com/spreadsheets/d/1IYY_tgx_IHuhSq3AJ5eI5OnqOPBNLWSHKh2a30DoXe8/edit?usp=sharing"",""ชุมพร!J383"")"),0)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IFERROR(__xludf.DUMMYFUNCTION("IMPORTRANGE(""https://docs.google.com/spreadsheets/d/1IYY_tgx_IHuhSq3AJ5eI5OnqOPBNLWSHKh2a30DoXe8/edit?usp=sharing"",""ชุมพร!I384"")"),0)</f>
        <v>0</v>
      </c>
      <c r="J489" s="195">
        <f ca="1">IFERROR(__xludf.DUMMYFUNCTION("IMPORTRANGE(""https://docs.google.com/spreadsheets/d/1IYY_tgx_IHuhSq3AJ5eI5OnqOPBNLWSHKh2a30DoXe8/edit?usp=sharing"",""ชุมพร!J384"")"),0)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IFERROR(__xludf.DUMMYFUNCTION("IMPORTRANGE(""https://docs.google.com/spreadsheets/d/1IYY_tgx_IHuhSq3AJ5eI5OnqOPBNLWSHKh2a30DoXe8/edit?usp=sharing"",""ชุมพร!I385"")"),0)</f>
        <v>0</v>
      </c>
      <c r="J490" s="195">
        <f ca="1">IFERROR(__xludf.DUMMYFUNCTION("IMPORTRANGE(""https://docs.google.com/spreadsheets/d/1IYY_tgx_IHuhSq3AJ5eI5OnqOPBNLWSHKh2a30DoXe8/edit?usp=sharing"",""ชุมพร!J385"")"),0)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IFERROR(__xludf.DUMMYFUNCTION("IMPORTRANGE(""https://docs.google.com/spreadsheets/d/1IYY_tgx_IHuhSq3AJ5eI5OnqOPBNLWSHKh2a30DoXe8/edit?usp=sharing"",""ชุมพร!I386"")"),0)</f>
        <v>0</v>
      </c>
      <c r="J491" s="195">
        <f ca="1">IFERROR(__xludf.DUMMYFUNCTION("IMPORTRANGE(""https://docs.google.com/spreadsheets/d/1IYY_tgx_IHuhSq3AJ5eI5OnqOPBNLWSHKh2a30DoXe8/edit?usp=sharing"",""ชุมพร!J386"")"),0)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IFERROR(__xludf.DUMMYFUNCTION("IMPORTRANGE(""https://docs.google.com/spreadsheets/d/1IYY_tgx_IHuhSq3AJ5eI5OnqOPBNLWSHKh2a30DoXe8/edit?usp=sharing"",""ชุมพร!I387"")"),0)</f>
        <v>0</v>
      </c>
      <c r="J492" s="195">
        <f ca="1">IFERROR(__xludf.DUMMYFUNCTION("IMPORTRANGE(""https://docs.google.com/spreadsheets/d/1IYY_tgx_IHuhSq3AJ5eI5OnqOPBNLWSHKh2a30DoXe8/edit?usp=sharing"",""ชุมพร!J387"")"),0)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IFERROR(__xludf.DUMMYFUNCTION("IMPORTRANGE(""https://docs.google.com/spreadsheets/d/1IYY_tgx_IHuhSq3AJ5eI5OnqOPBNLWSHKh2a30DoXe8/edit?usp=sharing"",""ชุมพร!I388"")"),0)</f>
        <v>0</v>
      </c>
      <c r="J493" s="195">
        <f ca="1">IFERROR(__xludf.DUMMYFUNCTION("IMPORTRANGE(""https://docs.google.com/spreadsheets/d/1IYY_tgx_IHuhSq3AJ5eI5OnqOPBNLWSHKh2a30DoXe8/edit?usp=sharing"",""ชุมพร!J388"")"),0)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IFERROR(__xludf.DUMMYFUNCTION("IMPORTRANGE(""https://docs.google.com/spreadsheets/d/1IYY_tgx_IHuhSq3AJ5eI5OnqOPBNLWSHKh2a30DoXe8/edit?usp=sharing"",""ชุมพร!I389"")"),0)</f>
        <v>0</v>
      </c>
      <c r="J494" s="442">
        <f ca="1">IFERROR(__xludf.DUMMYFUNCTION("IMPORTRANGE(""https://docs.google.com/spreadsheets/d/1IYY_tgx_IHuhSq3AJ5eI5OnqOPBNLWSHKh2a30DoXe8/edit?usp=sharing"",""ชุมพร!J389"")"),0)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IFERROR(__xludf.DUMMYFUNCTION("IMPORTRANGE(""https://docs.google.com/spreadsheets/d/1IYY_tgx_IHuhSq3AJ5eI5OnqOPBNLWSHKh2a30DoXe8/edit?usp=sharing"",""ชุมพร!I390"")"),0)</f>
        <v>0</v>
      </c>
      <c r="J495" s="442">
        <f ca="1">IFERROR(__xludf.DUMMYFUNCTION("IMPORTRANGE(""https://docs.google.com/spreadsheets/d/1IYY_tgx_IHuhSq3AJ5eI5OnqOPBNLWSHKh2a30DoXe8/edit?usp=sharing"",""ชุมพร!J390"")"),0)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IFERROR(__xludf.DUMMYFUNCTION("IMPORTRANGE(""https://docs.google.com/spreadsheets/d/1IYY_tgx_IHuhSq3AJ5eI5OnqOPBNLWSHKh2a30DoXe8/edit?usp=sharing"",""ชุมพร!I391"")"),0)</f>
        <v>0</v>
      </c>
      <c r="J496" s="442">
        <f ca="1">IFERROR(__xludf.DUMMYFUNCTION("IMPORTRANGE(""https://docs.google.com/spreadsheets/d/1IYY_tgx_IHuhSq3AJ5eI5OnqOPBNLWSHKh2a30DoXe8/edit?usp=sharing"",""ชุมพร!J391"")"),0)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IFERROR(__xludf.DUMMYFUNCTION("IMPORTRANGE(""https://docs.google.com/spreadsheets/d/1IYY_tgx_IHuhSq3AJ5eI5OnqOPBNLWSHKh2a30DoXe8/edit?usp=sharing"",""ชุมพร!I392"")"),659)</f>
        <v>659</v>
      </c>
      <c r="J497" s="449">
        <f ca="1">IFERROR(__xludf.DUMMYFUNCTION("IMPORTRANGE(""https://docs.google.com/spreadsheets/d/1IYY_tgx_IHuhSq3AJ5eI5OnqOPBNLWSHKh2a30DoXe8/edit?usp=sharing"",""ชุมพร!J392"")"),660)</f>
        <v>660</v>
      </c>
      <c r="K497" s="450">
        <f t="shared" ca="1" si="117"/>
        <v>100.15174506828528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IFERROR(__xludf.DUMMYFUNCTION("IMPORTRANGE(""https://docs.google.com/spreadsheets/d/1IYY_tgx_IHuhSq3AJ5eI5OnqOPBNLWSHKh2a30DoXe8/edit?usp=sharing"",""ชุมพร!I393"")"),659)</f>
        <v>659</v>
      </c>
      <c r="J498" s="426">
        <f ca="1">IFERROR(__xludf.DUMMYFUNCTION("IMPORTRANGE(""https://docs.google.com/spreadsheets/d/1IYY_tgx_IHuhSq3AJ5eI5OnqOPBNLWSHKh2a30DoXe8/edit?usp=sharing"",""ชุมพร!J393"")"),660)</f>
        <v>660</v>
      </c>
      <c r="K498" s="208">
        <f t="shared" ca="1" si="117"/>
        <v>100.15174506828528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IFERROR(__xludf.DUMMYFUNCTION("IMPORTRANGE(""https://docs.google.com/spreadsheets/d/1IYY_tgx_IHuhSq3AJ5eI5OnqOPBNLWSHKh2a30DoXe8/edit?usp=sharing"",""ชุมพร!I394"")"),94)</f>
        <v>94</v>
      </c>
      <c r="J499" s="426">
        <f ca="1">IFERROR(__xludf.DUMMYFUNCTION("IMPORTRANGE(""https://docs.google.com/spreadsheets/d/1IYY_tgx_IHuhSq3AJ5eI5OnqOPBNLWSHKh2a30DoXe8/edit?usp=sharing"",""ชุมพร!J394"")"),94)</f>
        <v>94</v>
      </c>
      <c r="K499" s="208">
        <f t="shared" ca="1" si="117"/>
        <v>100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IFERROR(__xludf.DUMMYFUNCTION("IMPORTRANGE(""https://docs.google.com/spreadsheets/d/1IYY_tgx_IHuhSq3AJ5eI5OnqOPBNLWSHKh2a30DoXe8/edit?usp=sharing"",""ชุมพร!I395"")"),0)</f>
        <v>0</v>
      </c>
      <c r="J500" s="166">
        <f ca="1">IFERROR(__xludf.DUMMYFUNCTION("IMPORTRANGE(""https://docs.google.com/spreadsheets/d/1IYY_tgx_IHuhSq3AJ5eI5OnqOPBNLWSHKh2a30DoXe8/edit?usp=sharing"",""ชุมพร!J395"")"),648)</f>
        <v>648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IFERROR(__xludf.DUMMYFUNCTION("IMPORTRANGE(""https://docs.google.com/spreadsheets/d/1IYY_tgx_IHuhSq3AJ5eI5OnqOPBNLWSHKh2a30DoXe8/edit?usp=sharing"",""ชุมพร!I396"")"),0)</f>
        <v>0</v>
      </c>
      <c r="J501" s="166">
        <f ca="1">IFERROR(__xludf.DUMMYFUNCTION("IMPORTRANGE(""https://docs.google.com/spreadsheets/d/1IYY_tgx_IHuhSq3AJ5eI5OnqOPBNLWSHKh2a30DoXe8/edit?usp=sharing"",""ชุมพร!J396"")"),89)</f>
        <v>89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IFERROR(__xludf.DUMMYFUNCTION("IMPORTRANGE(""https://docs.google.com/spreadsheets/d/1IYY_tgx_IHuhSq3AJ5eI5OnqOPBNLWSHKh2a30DoXe8/edit?usp=sharing"",""ชุมพร!I397"")"),0)</f>
        <v>0</v>
      </c>
      <c r="J502" s="195">
        <f ca="1">IFERROR(__xludf.DUMMYFUNCTION("IMPORTRANGE(""https://docs.google.com/spreadsheets/d/1IYY_tgx_IHuhSq3AJ5eI5OnqOPBNLWSHKh2a30DoXe8/edit?usp=sharing"",""ชุมพร!J397"")"),623)</f>
        <v>623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IFERROR(__xludf.DUMMYFUNCTION("IMPORTRANGE(""https://docs.google.com/spreadsheets/d/1IYY_tgx_IHuhSq3AJ5eI5OnqOPBNLWSHKh2a30DoXe8/edit?usp=sharing"",""ชุมพร!I398"")"),0)</f>
        <v>0</v>
      </c>
      <c r="J503" s="204">
        <f ca="1">IFERROR(__xludf.DUMMYFUNCTION("IMPORTRANGE(""https://docs.google.com/spreadsheets/d/1IYY_tgx_IHuhSq3AJ5eI5OnqOPBNLWSHKh2a30DoXe8/edit?usp=sharing"",""ชุมพร!J398"")"),85)</f>
        <v>85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IFERROR(__xludf.DUMMYFUNCTION("IMPORTRANGE(""https://docs.google.com/spreadsheets/d/1IYY_tgx_IHuhSq3AJ5eI5OnqOPBNLWSHKh2a30DoXe8/edit?usp=sharing"",""ชุมพร!I399"")"),0)</f>
        <v>0</v>
      </c>
      <c r="J504" s="195">
        <f ca="1">IFERROR(__xludf.DUMMYFUNCTION("IMPORTRANGE(""https://docs.google.com/spreadsheets/d/1IYY_tgx_IHuhSq3AJ5eI5OnqOPBNLWSHKh2a30DoXe8/edit?usp=sharing"",""ชุมพร!J399"")"),25)</f>
        <v>25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IFERROR(__xludf.DUMMYFUNCTION("IMPORTRANGE(""https://docs.google.com/spreadsheets/d/1IYY_tgx_IHuhSq3AJ5eI5OnqOPBNLWSHKh2a30DoXe8/edit?usp=sharing"",""ชุมพร!I400"")"),0)</f>
        <v>0</v>
      </c>
      <c r="J505" s="204">
        <f ca="1">IFERROR(__xludf.DUMMYFUNCTION("IMPORTRANGE(""https://docs.google.com/spreadsheets/d/1IYY_tgx_IHuhSq3AJ5eI5OnqOPBNLWSHKh2a30DoXe8/edit?usp=sharing"",""ชุมพร!J400"")"),4)</f>
        <v>4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IFERROR(__xludf.DUMMYFUNCTION("IMPORTRANGE(""https://docs.google.com/spreadsheets/d/1IYY_tgx_IHuhSq3AJ5eI5OnqOPBNLWSHKh2a30DoXe8/edit?usp=sharing"",""ชุมพร!I401"")"),0)</f>
        <v>0</v>
      </c>
      <c r="J506" s="195">
        <f ca="1">IFERROR(__xludf.DUMMYFUNCTION("IMPORTRANGE(""https://docs.google.com/spreadsheets/d/1IYY_tgx_IHuhSq3AJ5eI5OnqOPBNLWSHKh2a30DoXe8/edit?usp=sharing"",""ชุมพร!J401"")"),0)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IFERROR(__xludf.DUMMYFUNCTION("IMPORTRANGE(""https://docs.google.com/spreadsheets/d/1IYY_tgx_IHuhSq3AJ5eI5OnqOPBNLWSHKh2a30DoXe8/edit?usp=sharing"",""ชุมพร!I402"")"),0)</f>
        <v>0</v>
      </c>
      <c r="J507" s="204">
        <f ca="1">IFERROR(__xludf.DUMMYFUNCTION("IMPORTRANGE(""https://docs.google.com/spreadsheets/d/1IYY_tgx_IHuhSq3AJ5eI5OnqOPBNLWSHKh2a30DoXe8/edit?usp=sharing"",""ชุมพร!J402"")"),0)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IFERROR(__xludf.DUMMYFUNCTION("IMPORTRANGE(""https://docs.google.com/spreadsheets/d/1IYY_tgx_IHuhSq3AJ5eI5OnqOPBNLWSHKh2a30DoXe8/edit?usp=sharing"",""ชุมพร!I403"")"),0)</f>
        <v>0</v>
      </c>
      <c r="J508" s="166">
        <f ca="1">IFERROR(__xludf.DUMMYFUNCTION("IMPORTRANGE(""https://docs.google.com/spreadsheets/d/1IYY_tgx_IHuhSq3AJ5eI5OnqOPBNLWSHKh2a30DoXe8/edit?usp=sharing"",""ชุมพร!J403"")"),12)</f>
        <v>12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IFERROR(__xludf.DUMMYFUNCTION("IMPORTRANGE(""https://docs.google.com/spreadsheets/d/1IYY_tgx_IHuhSq3AJ5eI5OnqOPBNLWSHKh2a30DoXe8/edit?usp=sharing"",""ชุมพร!I404"")"),0)</f>
        <v>0</v>
      </c>
      <c r="J509" s="166">
        <f ca="1">IFERROR(__xludf.DUMMYFUNCTION("IMPORTRANGE(""https://docs.google.com/spreadsheets/d/1IYY_tgx_IHuhSq3AJ5eI5OnqOPBNLWSHKh2a30DoXe8/edit?usp=sharing"",""ชุมพร!J404"")"),5)</f>
        <v>5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IFERROR(__xludf.DUMMYFUNCTION("IMPORTRANGE(""https://docs.google.com/spreadsheets/d/1IYY_tgx_IHuhSq3AJ5eI5OnqOPBNLWSHKh2a30DoXe8/edit?usp=sharing"",""ชุมพร!I405"")"),0)</f>
        <v>0</v>
      </c>
      <c r="J510" s="204">
        <f ca="1">IFERROR(__xludf.DUMMYFUNCTION("IMPORTRANGE(""https://docs.google.com/spreadsheets/d/1IYY_tgx_IHuhSq3AJ5eI5OnqOPBNLWSHKh2a30DoXe8/edit?usp=sharing"",""ชุมพร!J405"")"),12)</f>
        <v>12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IFERROR(__xludf.DUMMYFUNCTION("IMPORTRANGE(""https://docs.google.com/spreadsheets/d/1IYY_tgx_IHuhSq3AJ5eI5OnqOPBNLWSHKh2a30DoXe8/edit?usp=sharing"",""ชุมพร!I406"")"),0)</f>
        <v>0</v>
      </c>
      <c r="J511" s="204">
        <f ca="1">IFERROR(__xludf.DUMMYFUNCTION("IMPORTRANGE(""https://docs.google.com/spreadsheets/d/1IYY_tgx_IHuhSq3AJ5eI5OnqOPBNLWSHKh2a30DoXe8/edit?usp=sharing"",""ชุมพร!J406"")"),5)</f>
        <v>5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IFERROR(__xludf.DUMMYFUNCTION("IMPORTRANGE(""https://docs.google.com/spreadsheets/d/1IYY_tgx_IHuhSq3AJ5eI5OnqOPBNLWSHKh2a30DoXe8/edit?usp=sharing"",""ชุมพร!I407"")"),0)</f>
        <v>0</v>
      </c>
      <c r="J512" s="204">
        <f ca="1">IFERROR(__xludf.DUMMYFUNCTION("IMPORTRANGE(""https://docs.google.com/spreadsheets/d/1IYY_tgx_IHuhSq3AJ5eI5OnqOPBNLWSHKh2a30DoXe8/edit?usp=sharing"",""ชุมพร!J407"")"),0)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IFERROR(__xludf.DUMMYFUNCTION("IMPORTRANGE(""https://docs.google.com/spreadsheets/d/1IYY_tgx_IHuhSq3AJ5eI5OnqOPBNLWSHKh2a30DoXe8/edit?usp=sharing"",""ชุมพร!I408"")"),0)</f>
        <v>0</v>
      </c>
      <c r="J513" s="204">
        <f ca="1">IFERROR(__xludf.DUMMYFUNCTION("IMPORTRANGE(""https://docs.google.com/spreadsheets/d/1IYY_tgx_IHuhSq3AJ5eI5OnqOPBNLWSHKh2a30DoXe8/edit?usp=sharing"",""ชุมพร!J408"")"),0)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IFERROR(__xludf.DUMMYFUNCTION("IMPORTRANGE(""https://docs.google.com/spreadsheets/d/1IYY_tgx_IHuhSq3AJ5eI5OnqOPBNLWSHKh2a30DoXe8/edit?usp=sharing"",""ชุมพร!I409"")"),0)</f>
        <v>0</v>
      </c>
      <c r="J514" s="204">
        <f ca="1">IFERROR(__xludf.DUMMYFUNCTION("IMPORTRANGE(""https://docs.google.com/spreadsheets/d/1IYY_tgx_IHuhSq3AJ5eI5OnqOPBNLWSHKh2a30DoXe8/edit?usp=sharing"",""ชุมพร!J409"")"),0)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IFERROR(__xludf.DUMMYFUNCTION("IMPORTRANGE(""https://docs.google.com/spreadsheets/d/1IYY_tgx_IHuhSq3AJ5eI5OnqOPBNLWSHKh2a30DoXe8/edit?usp=sharing"",""ชุมพร!I410"")"),0)</f>
        <v>0</v>
      </c>
      <c r="J515" s="204">
        <f ca="1">IFERROR(__xludf.DUMMYFUNCTION("IMPORTRANGE(""https://docs.google.com/spreadsheets/d/1IYY_tgx_IHuhSq3AJ5eI5OnqOPBNLWSHKh2a30DoXe8/edit?usp=sharing"",""ชุมพร!J410"")"),0)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IFERROR(__xludf.DUMMYFUNCTION("IMPORTRANGE(""https://docs.google.com/spreadsheets/d/1IYY_tgx_IHuhSq3AJ5eI5OnqOPBNLWSHKh2a30DoXe8/edit?usp=sharing"",""ชุมพร!I411"")"),0)</f>
        <v>0</v>
      </c>
      <c r="J516" s="273">
        <f ca="1">IFERROR(__xludf.DUMMYFUNCTION("IMPORTRANGE(""https://docs.google.com/spreadsheets/d/1IYY_tgx_IHuhSq3AJ5eI5OnqOPBNLWSHKh2a30DoXe8/edit?usp=sharing"",""ชุมพร!J411"")"),0)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IFERROR(__xludf.DUMMYFUNCTION("IMPORTRANGE(""https://docs.google.com/spreadsheets/d/1IYY_tgx_IHuhSq3AJ5eI5OnqOPBNLWSHKh2a30DoXe8/edit?usp=sharing"",""ชุมพร!I412"")"),0)</f>
        <v>0</v>
      </c>
      <c r="J517" s="290">
        <f ca="1">IFERROR(__xludf.DUMMYFUNCTION("IMPORTRANGE(""https://docs.google.com/spreadsheets/d/1IYY_tgx_IHuhSq3AJ5eI5OnqOPBNLWSHKh2a30DoXe8/edit?usp=sharing"",""ชุมพร!J412"")"),0)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IFERROR(__xludf.DUMMYFUNCTION("IMPORTRANGE(""https://docs.google.com/spreadsheets/d/1IYY_tgx_IHuhSq3AJ5eI5OnqOPBNLWSHKh2a30DoXe8/edit?usp=sharing"",""ชุมพร!I413"")"),0)</f>
        <v>0</v>
      </c>
      <c r="J518" s="290">
        <f ca="1">IFERROR(__xludf.DUMMYFUNCTION("IMPORTRANGE(""https://docs.google.com/spreadsheets/d/1IYY_tgx_IHuhSq3AJ5eI5OnqOPBNLWSHKh2a30DoXe8/edit?usp=sharing"",""ชุมพร!J413"")"),0)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IFERROR(__xludf.DUMMYFUNCTION("IMPORTRANGE(""https://docs.google.com/spreadsheets/d/1IYY_tgx_IHuhSq3AJ5eI5OnqOPBNLWSHKh2a30DoXe8/edit?usp=sharing"",""ชุมพร!I414"")"),0)</f>
        <v>0</v>
      </c>
      <c r="J519" s="194">
        <f ca="1">IFERROR(__xludf.DUMMYFUNCTION("IMPORTRANGE(""https://docs.google.com/spreadsheets/d/1IYY_tgx_IHuhSq3AJ5eI5OnqOPBNLWSHKh2a30DoXe8/edit?usp=sharing"",""ชุมพร!J414"")"),0)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IFERROR(__xludf.DUMMYFUNCTION("IMPORTRANGE(""https://docs.google.com/spreadsheets/d/1IYY_tgx_IHuhSq3AJ5eI5OnqOPBNLWSHKh2a30DoXe8/edit?usp=sharing"",""ชุมพร!I415"")"),0)</f>
        <v>0</v>
      </c>
      <c r="J520" s="194">
        <f ca="1">IFERROR(__xludf.DUMMYFUNCTION("IMPORTRANGE(""https://docs.google.com/spreadsheets/d/1IYY_tgx_IHuhSq3AJ5eI5OnqOPBNLWSHKh2a30DoXe8/edit?usp=sharing"",""ชุมพร!J415"")"),0)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IFERROR(__xludf.DUMMYFUNCTION("IMPORTRANGE(""https://docs.google.com/spreadsheets/d/1IYY_tgx_IHuhSq3AJ5eI5OnqOPBNLWSHKh2a30DoXe8/edit?usp=sharing"",""ชุมพร!I416"")"),0)</f>
        <v>0</v>
      </c>
      <c r="J521" s="194">
        <f ca="1">IFERROR(__xludf.DUMMYFUNCTION("IMPORTRANGE(""https://docs.google.com/spreadsheets/d/1IYY_tgx_IHuhSq3AJ5eI5OnqOPBNLWSHKh2a30DoXe8/edit?usp=sharing"",""ชุมพร!J416"")"),0)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IFERROR(__xludf.DUMMYFUNCTION("IMPORTRANGE(""https://docs.google.com/spreadsheets/d/1IYY_tgx_IHuhSq3AJ5eI5OnqOPBNLWSHKh2a30DoXe8/edit?usp=sharing"",""ชุมพร!I417"")"),0)</f>
        <v>0</v>
      </c>
      <c r="J522" s="194">
        <f ca="1">IFERROR(__xludf.DUMMYFUNCTION("IMPORTRANGE(""https://docs.google.com/spreadsheets/d/1IYY_tgx_IHuhSq3AJ5eI5OnqOPBNLWSHKh2a30DoXe8/edit?usp=sharing"",""ชุมพร!J417"")"),0)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IFERROR(__xludf.DUMMYFUNCTION("IMPORTRANGE(""https://docs.google.com/spreadsheets/d/1IYY_tgx_IHuhSq3AJ5eI5OnqOPBNLWSHKh2a30DoXe8/edit?usp=sharing"",""ชุมพร!I418"")"),0)</f>
        <v>0</v>
      </c>
      <c r="J523" s="194">
        <f ca="1">IFERROR(__xludf.DUMMYFUNCTION("IMPORTRANGE(""https://docs.google.com/spreadsheets/d/1IYY_tgx_IHuhSq3AJ5eI5OnqOPBNLWSHKh2a30DoXe8/edit?usp=sharing"",""ชุมพร!J418"")"),0)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IFERROR(__xludf.DUMMYFUNCTION("IMPORTRANGE(""https://docs.google.com/spreadsheets/d/1IYY_tgx_IHuhSq3AJ5eI5OnqOPBNLWSHKh2a30DoXe8/edit?usp=sharing"",""ชุมพร!I419"")"),0)</f>
        <v>0</v>
      </c>
      <c r="J524" s="194">
        <f ca="1">IFERROR(__xludf.DUMMYFUNCTION("IMPORTRANGE(""https://docs.google.com/spreadsheets/d/1IYY_tgx_IHuhSq3AJ5eI5OnqOPBNLWSHKh2a30DoXe8/edit?usp=sharing"",""ชุมพร!J419"")"),0)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IFERROR(__xludf.DUMMYFUNCTION("IMPORTRANGE(""https://docs.google.com/spreadsheets/d/1IYY_tgx_IHuhSq3AJ5eI5OnqOPBNLWSHKh2a30DoXe8/edit?usp=sharing"",""ชุมพร!I420"")"),0)</f>
        <v>0</v>
      </c>
      <c r="J525" s="290">
        <f ca="1">IFERROR(__xludf.DUMMYFUNCTION("IMPORTRANGE(""https://docs.google.com/spreadsheets/d/1IYY_tgx_IHuhSq3AJ5eI5OnqOPBNLWSHKh2a30DoXe8/edit?usp=sharing"",""ชุมพร!J420"")"),0)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IFERROR(__xludf.DUMMYFUNCTION("IMPORTRANGE(""https://docs.google.com/spreadsheets/d/1IYY_tgx_IHuhSq3AJ5eI5OnqOPBNLWSHKh2a30DoXe8/edit?usp=sharing"",""ชุมพร!I421"")"),0)</f>
        <v>0</v>
      </c>
      <c r="J526" s="290">
        <f ca="1">IFERROR(__xludf.DUMMYFUNCTION("IMPORTRANGE(""https://docs.google.com/spreadsheets/d/1IYY_tgx_IHuhSq3AJ5eI5OnqOPBNLWSHKh2a30DoXe8/edit?usp=sharing"",""ชุมพร!J421"")"),0)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IFERROR(__xludf.DUMMYFUNCTION("IMPORTRANGE(""https://docs.google.com/spreadsheets/d/1IYY_tgx_IHuhSq3AJ5eI5OnqOPBNLWSHKh2a30DoXe8/edit?usp=sharing"",""ชุมพร!I422"")"),0)</f>
        <v>0</v>
      </c>
      <c r="J527" s="204">
        <f ca="1">IFERROR(__xludf.DUMMYFUNCTION("IMPORTRANGE(""https://docs.google.com/spreadsheets/d/1IYY_tgx_IHuhSq3AJ5eI5OnqOPBNLWSHKh2a30DoXe8/edit?usp=sharing"",""ชุมพร!J422"")"),0)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IFERROR(__xludf.DUMMYFUNCTION("IMPORTRANGE(""https://docs.google.com/spreadsheets/d/1IYY_tgx_IHuhSq3AJ5eI5OnqOPBNLWSHKh2a30DoXe8/edit?usp=sharing"",""ชุมพร!I423"")"),0)</f>
        <v>0</v>
      </c>
      <c r="J528" s="204">
        <f ca="1">IFERROR(__xludf.DUMMYFUNCTION("IMPORTRANGE(""https://docs.google.com/spreadsheets/d/1IYY_tgx_IHuhSq3AJ5eI5OnqOPBNLWSHKh2a30DoXe8/edit?usp=sharing"",""ชุมพร!J423"")"),0)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IFERROR(__xludf.DUMMYFUNCTION("IMPORTRANGE(""https://docs.google.com/spreadsheets/d/1IYY_tgx_IHuhSq3AJ5eI5OnqOPBNLWSHKh2a30DoXe8/edit?usp=sharing"",""ชุมพร!I424"")"),0)</f>
        <v>0</v>
      </c>
      <c r="J529" s="204">
        <f ca="1">IFERROR(__xludf.DUMMYFUNCTION("IMPORTRANGE(""https://docs.google.com/spreadsheets/d/1IYY_tgx_IHuhSq3AJ5eI5OnqOPBNLWSHKh2a30DoXe8/edit?usp=sharing"",""ชุมพร!J424"")"),0)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IFERROR(__xludf.DUMMYFUNCTION("IMPORTRANGE(""https://docs.google.com/spreadsheets/d/1IYY_tgx_IHuhSq3AJ5eI5OnqOPBNLWSHKh2a30DoXe8/edit?usp=sharing"",""ชุมพร!I425"")"),0)</f>
        <v>0</v>
      </c>
      <c r="J530" s="204">
        <f ca="1">IFERROR(__xludf.DUMMYFUNCTION("IMPORTRANGE(""https://docs.google.com/spreadsheets/d/1IYY_tgx_IHuhSq3AJ5eI5OnqOPBNLWSHKh2a30DoXe8/edit?usp=sharing"",""ชุมพร!J425"")"),0)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IFERROR(__xludf.DUMMYFUNCTION("IMPORTRANGE(""https://docs.google.com/spreadsheets/d/1IYY_tgx_IHuhSq3AJ5eI5OnqOPBNLWSHKh2a30DoXe8/edit?usp=sharing"",""ชุมพร!I426"")"),0)</f>
        <v>0</v>
      </c>
      <c r="J531" s="204">
        <f ca="1">IFERROR(__xludf.DUMMYFUNCTION("IMPORTRANGE(""https://docs.google.com/spreadsheets/d/1IYY_tgx_IHuhSq3AJ5eI5OnqOPBNLWSHKh2a30DoXe8/edit?usp=sharing"",""ชุมพร!J426"")"),0)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IFERROR(__xludf.DUMMYFUNCTION("IMPORTRANGE(""https://docs.google.com/spreadsheets/d/1IYY_tgx_IHuhSq3AJ5eI5OnqOPBNLWSHKh2a30DoXe8/edit?usp=sharing"",""ชุมพร!I427"")"),0)</f>
        <v>0</v>
      </c>
      <c r="J532" s="472">
        <f ca="1">IFERROR(__xludf.DUMMYFUNCTION("IMPORTRANGE(""https://docs.google.com/spreadsheets/d/1IYY_tgx_IHuhSq3AJ5eI5OnqOPBNLWSHKh2a30DoXe8/edit?usp=sharing"",""ชุมพร!J427"")"),0)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IFERROR(__xludf.DUMMYFUNCTION("IMPORTRANGE(""https://docs.google.com/spreadsheets/d/1IYY_tgx_IHuhSq3AJ5eI5OnqOPBNLWSHKh2a30DoXe8/edit?usp=sharing"",""ชุมพร!I428"")"),26)</f>
        <v>26</v>
      </c>
      <c r="J533" s="416">
        <f ca="1">IFERROR(__xludf.DUMMYFUNCTION("IMPORTRANGE(""https://docs.google.com/spreadsheets/d/1IYY_tgx_IHuhSq3AJ5eI5OnqOPBNLWSHKh2a30DoXe8/edit?usp=sharing"",""ชุมพร!J428"")"),26)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IFERROR(__xludf.DUMMYFUNCTION("IMPORTRANGE(""https://docs.google.com/spreadsheets/d/1IYY_tgx_IHuhSq3AJ5eI5OnqOPBNLWSHKh2a30DoXe8/edit?usp=sharing"",""ชุมพร!L428"")"),37740)</f>
        <v>37740</v>
      </c>
      <c r="M533" s="418"/>
      <c r="N533" s="418">
        <f ca="1">IFERROR(__xludf.DUMMYFUNCTION("IMPORTRANGE(""https://docs.google.com/spreadsheets/d/1IYY_tgx_IHuhSq3AJ5eI5OnqOPBNLWSHKh2a30DoXe8/edit?usp=sharing"",""ชุมพร!M428"")"),22200)</f>
        <v>22200</v>
      </c>
      <c r="O533" s="418">
        <f t="shared" ref="O533:O537" ca="1" si="118">+IF(L533&gt;0,N533*100/L533,0)</f>
        <v>58.823529411764703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IFERROR(__xludf.DUMMYFUNCTION("IMPORTRANGE(""https://docs.google.com/spreadsheets/d/1IYY_tgx_IHuhSq3AJ5eI5OnqOPBNLWSHKh2a30DoXe8/edit?usp=sharing"",""ชุมพร!L429"")"),0)</f>
        <v>0</v>
      </c>
      <c r="M534" s="168"/>
      <c r="N534" s="175">
        <f ca="1">IFERROR(__xludf.DUMMYFUNCTION("IMPORTRANGE(""https://docs.google.com/spreadsheets/d/1IYY_tgx_IHuhSq3AJ5eI5OnqOPBNLWSHKh2a30DoXe8/edit?usp=sharing"",""ชุมพร!M429"")"),0)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IFERROR(__xludf.DUMMYFUNCTION("IMPORTRANGE(""https://docs.google.com/spreadsheets/d/1IYY_tgx_IHuhSq3AJ5eI5OnqOPBNLWSHKh2a30DoXe8/edit?usp=sharing"",""ชุมพร!L430"")"),37740)</f>
        <v>37740</v>
      </c>
      <c r="M535" s="169"/>
      <c r="N535" s="175">
        <f ca="1">IFERROR(__xludf.DUMMYFUNCTION("IMPORTRANGE(""https://docs.google.com/spreadsheets/d/1IYY_tgx_IHuhSq3AJ5eI5OnqOPBNLWSHKh2a30DoXe8/edit?usp=sharing"",""ชุมพร!M430"")"),22200)</f>
        <v>22200</v>
      </c>
      <c r="O535" s="175">
        <f t="shared" ca="1" si="118"/>
        <v>58.823529411764703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IFERROR(__xludf.DUMMYFUNCTION("IMPORTRANGE(""https://docs.google.com/spreadsheets/d/1IYY_tgx_IHuhSq3AJ5eI5OnqOPBNLWSHKh2a30DoXe8/edit?usp=sharing"",""ชุมพร!L431"")"),0)</f>
        <v>0</v>
      </c>
      <c r="M536" s="175"/>
      <c r="N536" s="175">
        <f ca="1">IFERROR(__xludf.DUMMYFUNCTION("IMPORTRANGE(""https://docs.google.com/spreadsheets/d/1IYY_tgx_IHuhSq3AJ5eI5OnqOPBNLWSHKh2a30DoXe8/edit?usp=sharing"",""ชุมพร!M431"")"),0)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IFERROR(__xludf.DUMMYFUNCTION("IMPORTRANGE(""https://docs.google.com/spreadsheets/d/1IYY_tgx_IHuhSq3AJ5eI5OnqOPBNLWSHKh2a30DoXe8/edit?usp=sharing"",""ชุมพร!L432"")"),37740)</f>
        <v>37740</v>
      </c>
      <c r="M537" s="175"/>
      <c r="N537" s="175">
        <f ca="1">IFERROR(__xludf.DUMMYFUNCTION("IMPORTRANGE(""https://docs.google.com/spreadsheets/d/1IYY_tgx_IHuhSq3AJ5eI5OnqOPBNLWSHKh2a30DoXe8/edit?usp=sharing"",""ชุมพร!M432"")"),22200)</f>
        <v>22200</v>
      </c>
      <c r="O537" s="175">
        <f t="shared" ca="1" si="118"/>
        <v>58.823529411764703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IFERROR(__xludf.DUMMYFUNCTION("IMPORTRANGE(""https://docs.google.com/spreadsheets/d/1IYY_tgx_IHuhSq3AJ5eI5OnqOPBNLWSHKh2a30DoXe8/edit?usp=sharing"",""ชุมพร!M433"")"),22200)</f>
        <v>22200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IFERROR(__xludf.DUMMYFUNCTION("IMPORTRANGE(""https://docs.google.com/spreadsheets/d/1IYY_tgx_IHuhSq3AJ5eI5OnqOPBNLWSHKh2a30DoXe8/edit?usp=sharing"",""ชุมพร!M434"")"),0)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IFERROR(__xludf.DUMMYFUNCTION("IMPORTRANGE(""https://docs.google.com/spreadsheets/d/1IYY_tgx_IHuhSq3AJ5eI5OnqOPBNLWSHKh2a30DoXe8/edit?usp=sharing"",""ชุมพร!M435"")"),0)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IFERROR(__xludf.DUMMYFUNCTION("IMPORTRANGE(""https://docs.google.com/spreadsheets/d/1IYY_tgx_IHuhSq3AJ5eI5OnqOPBNLWSHKh2a30DoXe8/edit?usp=sharing"",""ชุมพร!M436"")"),0)</f>
        <v>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IFERROR(__xludf.DUMMYFUNCTION("IMPORTRANGE(""https://docs.google.com/spreadsheets/d/1IYY_tgx_IHuhSq3AJ5eI5OnqOPBNLWSHKh2a30DoXe8/edit?usp=sharing"",""ชุมพร!J438"")"),0)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IFERROR(__xludf.DUMMYFUNCTION("IMPORTRANGE(""https://docs.google.com/spreadsheets/d/1IYY_tgx_IHuhSq3AJ5eI5OnqOPBNLWSHKh2a30DoXe8/edit?usp=sharing"",""ชุมพร!J439"")"),1)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IFERROR(__xludf.DUMMYFUNCTION("IMPORTRANGE(""https://docs.google.com/spreadsheets/d/1IYY_tgx_IHuhSq3AJ5eI5OnqOPBNLWSHKh2a30DoXe8/edit?usp=sharing"",""ชุมพร!J440"")"),1)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IFERROR(__xludf.DUMMYFUNCTION("IMPORTRANGE(""https://docs.google.com/spreadsheets/d/1IYY_tgx_IHuhSq3AJ5eI5OnqOPBNLWSHKh2a30DoXe8/edit?usp=sharing"",""ชุมพร!J441"")"),1)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IFERROR(__xludf.DUMMYFUNCTION("IMPORTRANGE(""https://docs.google.com/spreadsheets/d/1IYY_tgx_IHuhSq3AJ5eI5OnqOPBNLWSHKh2a30DoXe8/edit?usp=sharing"",""ชุมพร!I442"")"),26)</f>
        <v>26</v>
      </c>
      <c r="J547" s="195">
        <f ca="1">IFERROR(__xludf.DUMMYFUNCTION("IMPORTRANGE(""https://docs.google.com/spreadsheets/d/1IYY_tgx_IHuhSq3AJ5eI5OnqOPBNLWSHKh2a30DoXe8/edit?usp=sharing"",""ชุมพร!J442"")"),26)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IFERROR(__xludf.DUMMYFUNCTION("IMPORTRANGE(""https://docs.google.com/spreadsheets/d/1IYY_tgx_IHuhSq3AJ5eI5OnqOPBNLWSHKh2a30DoXe8/edit?usp=sharing"",""ชุมพร!J166"")"),0)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IFERROR(__xludf.DUMMYFUNCTION("IMPORTRANGE(""https://docs.google.com/spreadsheets/d/1IYY_tgx_IHuhSq3AJ5eI5OnqOPBNLWSHKh2a30DoXe8/edit?usp=sharing"",""ชุมพร!J444"")"),0)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IFERROR(__xludf.DUMMYFUNCTION("IMPORTRANGE(""https://docs.google.com/spreadsheets/d/1IYY_tgx_IHuhSq3AJ5eI5OnqOPBNLWSHKh2a30DoXe8/edit?usp=sharing"",""ชุมพร!J445"")"),0)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IFERROR(__xludf.DUMMYFUNCTION("IMPORTRANGE(""https://docs.google.com/spreadsheets/d/1IYY_tgx_IHuhSq3AJ5eI5OnqOPBNLWSHKh2a30DoXe8/edit?usp=sharing"",""ชุมพร!I446"")"),0)</f>
        <v>0</v>
      </c>
      <c r="J551" s="416">
        <f ca="1">IFERROR(__xludf.DUMMYFUNCTION("IMPORTRANGE(""https://docs.google.com/spreadsheets/d/1IYY_tgx_IHuhSq3AJ5eI5OnqOPBNLWSHKh2a30DoXe8/edit?usp=sharing"",""ชุมพร!J446"")"),0)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IFERROR(__xludf.DUMMYFUNCTION("IMPORTRANGE(""https://docs.google.com/spreadsheets/d/1IYY_tgx_IHuhSq3AJ5eI5OnqOPBNLWSHKh2a30DoXe8/edit?usp=sharing"",""ชุมพร!L446"")"),0)</f>
        <v>0</v>
      </c>
      <c r="M551" s="418"/>
      <c r="N551" s="418">
        <f ca="1">IFERROR(__xludf.DUMMYFUNCTION("IMPORTRANGE(""https://docs.google.com/spreadsheets/d/1IYY_tgx_IHuhSq3AJ5eI5OnqOPBNLWSHKh2a30DoXe8/edit?usp=sharing"",""ชุมพร!M446"")"),0)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IFERROR(__xludf.DUMMYFUNCTION("IMPORTRANGE(""https://docs.google.com/spreadsheets/d/1IYY_tgx_IHuhSq3AJ5eI5OnqOPBNLWSHKh2a30DoXe8/edit?usp=sharing"",""ชุมพร!L447"")"),0)</f>
        <v>0</v>
      </c>
      <c r="M552" s="168"/>
      <c r="N552" s="175">
        <f ca="1">IFERROR(__xludf.DUMMYFUNCTION("IMPORTRANGE(""https://docs.google.com/spreadsheets/d/1IYY_tgx_IHuhSq3AJ5eI5OnqOPBNLWSHKh2a30DoXe8/edit?usp=sharing"",""ชุมพร!M447"")"),0)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IFERROR(__xludf.DUMMYFUNCTION("IMPORTRANGE(""https://docs.google.com/spreadsheets/d/1IYY_tgx_IHuhSq3AJ5eI5OnqOPBNLWSHKh2a30DoXe8/edit?usp=sharing"",""ชุมพร!L448"")"),0)</f>
        <v>0</v>
      </c>
      <c r="M553" s="169"/>
      <c r="N553" s="175">
        <f ca="1">IFERROR(__xludf.DUMMYFUNCTION("IMPORTRANGE(""https://docs.google.com/spreadsheets/d/1IYY_tgx_IHuhSq3AJ5eI5OnqOPBNLWSHKh2a30DoXe8/edit?usp=sharing"",""ชุมพร!M448"")"),0)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IFERROR(__xludf.DUMMYFUNCTION("IMPORTRANGE(""https://docs.google.com/spreadsheets/d/1IYY_tgx_IHuhSq3AJ5eI5OnqOPBNLWSHKh2a30DoXe8/edit?usp=sharing"",""ชุมพร!L449"")"),0)</f>
        <v>0</v>
      </c>
      <c r="M554" s="175"/>
      <c r="N554" s="175">
        <f ca="1">IFERROR(__xludf.DUMMYFUNCTION("IMPORTRANGE(""https://docs.google.com/spreadsheets/d/1IYY_tgx_IHuhSq3AJ5eI5OnqOPBNLWSHKh2a30DoXe8/edit?usp=sharing"",""ชุมพร!M449"")"),0)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IFERROR(__xludf.DUMMYFUNCTION("IMPORTRANGE(""https://docs.google.com/spreadsheets/d/1IYY_tgx_IHuhSq3AJ5eI5OnqOPBNLWSHKh2a30DoXe8/edit?usp=sharing"",""ชุมพร!L450"")"),0)</f>
        <v>0</v>
      </c>
      <c r="M555" s="175"/>
      <c r="N555" s="175">
        <f ca="1">IFERROR(__xludf.DUMMYFUNCTION("IMPORTRANGE(""https://docs.google.com/spreadsheets/d/1IYY_tgx_IHuhSq3AJ5eI5OnqOPBNLWSHKh2a30DoXe8/edit?usp=sharing"",""ชุมพร!M450"")"),0)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IFERROR(__xludf.DUMMYFUNCTION("IMPORTRANGE(""https://docs.google.com/spreadsheets/d/1IYY_tgx_IHuhSq3AJ5eI5OnqOPBNLWSHKh2a30DoXe8/edit?usp=sharing"",""ชุมพร!M451"")"),0)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IFERROR(__xludf.DUMMYFUNCTION("IMPORTRANGE(""https://docs.google.com/spreadsheets/d/1IYY_tgx_IHuhSq3AJ5eI5OnqOPBNLWSHKh2a30DoXe8/edit?usp=sharing"",""ชุมพร!M452"")"),0)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IFERROR(__xludf.DUMMYFUNCTION("IMPORTRANGE(""https://docs.google.com/spreadsheets/d/1IYY_tgx_IHuhSq3AJ5eI5OnqOPBNLWSHKh2a30DoXe8/edit?usp=sharing"",""ชุมพร!M453"")"),0)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IFERROR(__xludf.DUMMYFUNCTION("IMPORTRANGE(""https://docs.google.com/spreadsheets/d/1IYY_tgx_IHuhSq3AJ5eI5OnqOPBNLWSHKh2a30DoXe8/edit?usp=sharing"",""ชุมพร!M454"")"),0)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IFERROR(__xludf.DUMMYFUNCTION("IMPORTRANGE(""https://docs.google.com/spreadsheets/d/1IYY_tgx_IHuhSq3AJ5eI5OnqOPBNLWSHKh2a30DoXe8/edit?usp=sharing"",""ชุมพร!I455"")"),0)</f>
        <v>0</v>
      </c>
      <c r="J560" s="166">
        <f ca="1">IFERROR(__xludf.DUMMYFUNCTION("IMPORTRANGE(""https://docs.google.com/spreadsheets/d/1IYY_tgx_IHuhSq3AJ5eI5OnqOPBNLWSHKh2a30DoXe8/edit?usp=sharing"",""ชุมพร!J455"")"),0)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IFERROR(__xludf.DUMMYFUNCTION("IMPORTRANGE(""https://docs.google.com/spreadsheets/d/1IYY_tgx_IHuhSq3AJ5eI5OnqOPBNLWSHKh2a30DoXe8/edit?usp=sharing"",""ชุมพร!I456"")"),0)</f>
        <v>0</v>
      </c>
      <c r="J561" s="210">
        <f ca="1">IFERROR(__xludf.DUMMYFUNCTION("IMPORTRANGE(""https://docs.google.com/spreadsheets/d/1IYY_tgx_IHuhSq3AJ5eI5OnqOPBNLWSHKh2a30DoXe8/edit?usp=sharing"",""ชุมพร!J456"")"),0)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IFERROR(__xludf.DUMMYFUNCTION("IMPORTRANGE(""https://docs.google.com/spreadsheets/d/1IYY_tgx_IHuhSq3AJ5eI5OnqOPBNLWSHKh2a30DoXe8/edit?usp=sharing"",""ชุมพร!I459"")"),1500)</f>
        <v>1500</v>
      </c>
      <c r="J564" s="377">
        <f ca="1">IFERROR(__xludf.DUMMYFUNCTION("IMPORTRANGE(""https://docs.google.com/spreadsheets/d/1IYY_tgx_IHuhSq3AJ5eI5OnqOPBNLWSHKh2a30DoXe8/edit?usp=sharing"",""ชุมพร!J459"")"),2382)</f>
        <v>2382</v>
      </c>
      <c r="K564" s="378">
        <f ca="1">IF(I564&gt;0,J564*100/I564,0)</f>
        <v>158.80000000000001</v>
      </c>
      <c r="L564" s="379">
        <f ca="1">IFERROR(__xludf.DUMMYFUNCTION("IMPORTRANGE(""https://docs.google.com/spreadsheets/d/1IYY_tgx_IHuhSq3AJ5eI5OnqOPBNLWSHKh2a30DoXe8/edit?usp=sharing"",""ชุมพร!L459"")"),136000)</f>
        <v>136000</v>
      </c>
      <c r="M564" s="379"/>
      <c r="N564" s="379">
        <f ca="1">IFERROR(__xludf.DUMMYFUNCTION("IMPORTRANGE(""https://docs.google.com/spreadsheets/d/1IYY_tgx_IHuhSq3AJ5eI5OnqOPBNLWSHKh2a30DoXe8/edit?usp=sharing"",""ชุมพร!M459"")"),73936)</f>
        <v>73936</v>
      </c>
      <c r="O564" s="379">
        <f t="shared" ref="O564:O568" ca="1" si="122">+IF(L564&gt;0,N564*100/L564,0)</f>
        <v>54.364705882352943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IFERROR(__xludf.DUMMYFUNCTION("IMPORTRANGE(""https://docs.google.com/spreadsheets/d/1IYY_tgx_IHuhSq3AJ5eI5OnqOPBNLWSHKh2a30DoXe8/edit?usp=sharing"",""ชุมพร!L460"")"),0)</f>
        <v>0</v>
      </c>
      <c r="M565" s="168"/>
      <c r="N565" s="175">
        <f ca="1">IFERROR(__xludf.DUMMYFUNCTION("IMPORTRANGE(""https://docs.google.com/spreadsheets/d/1IYY_tgx_IHuhSq3AJ5eI5OnqOPBNLWSHKh2a30DoXe8/edit?usp=sharing"",""ชุมพร!M460"")"),0)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IFERROR(__xludf.DUMMYFUNCTION("IMPORTRANGE(""https://docs.google.com/spreadsheets/d/1IYY_tgx_IHuhSq3AJ5eI5OnqOPBNLWSHKh2a30DoXe8/edit?usp=sharing"",""ชุมพร!L461"")"),136000)</f>
        <v>136000</v>
      </c>
      <c r="M566" s="169"/>
      <c r="N566" s="175">
        <f ca="1">IFERROR(__xludf.DUMMYFUNCTION("IMPORTRANGE(""https://docs.google.com/spreadsheets/d/1IYY_tgx_IHuhSq3AJ5eI5OnqOPBNLWSHKh2a30DoXe8/edit?usp=sharing"",""ชุมพร!M461"")"),73936)</f>
        <v>73936</v>
      </c>
      <c r="O566" s="175">
        <f t="shared" ca="1" si="122"/>
        <v>54.364705882352943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IFERROR(__xludf.DUMMYFUNCTION("IMPORTRANGE(""https://docs.google.com/spreadsheets/d/1IYY_tgx_IHuhSq3AJ5eI5OnqOPBNLWSHKh2a30DoXe8/edit?usp=sharing"",""ชุมพร!L462"")"),0)</f>
        <v>0</v>
      </c>
      <c r="M567" s="175"/>
      <c r="N567" s="175">
        <f ca="1">IFERROR(__xludf.DUMMYFUNCTION("IMPORTRANGE(""https://docs.google.com/spreadsheets/d/1IYY_tgx_IHuhSq3AJ5eI5OnqOPBNLWSHKh2a30DoXe8/edit?usp=sharing"",""ชุมพร!M462"")"),0)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IFERROR(__xludf.DUMMYFUNCTION("IMPORTRANGE(""https://docs.google.com/spreadsheets/d/1IYY_tgx_IHuhSq3AJ5eI5OnqOPBNLWSHKh2a30DoXe8/edit?usp=sharing"",""ชุมพร!L463"")"),136000)</f>
        <v>136000</v>
      </c>
      <c r="M568" s="175"/>
      <c r="N568" s="175">
        <f ca="1">IFERROR(__xludf.DUMMYFUNCTION("IMPORTRANGE(""https://docs.google.com/spreadsheets/d/1IYY_tgx_IHuhSq3AJ5eI5OnqOPBNLWSHKh2a30DoXe8/edit?usp=sharing"",""ชุมพร!M463"")"),73936)</f>
        <v>73936</v>
      </c>
      <c r="O568" s="175">
        <f t="shared" ca="1" si="122"/>
        <v>54.364705882352943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IFERROR(__xludf.DUMMYFUNCTION("IMPORTRANGE(""https://docs.google.com/spreadsheets/d/1IYY_tgx_IHuhSq3AJ5eI5OnqOPBNLWSHKh2a30DoXe8/edit?usp=sharing"",""ชุมพร!M464"")"),0)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IFERROR(__xludf.DUMMYFUNCTION("IMPORTRANGE(""https://docs.google.com/spreadsheets/d/1IYY_tgx_IHuhSq3AJ5eI5OnqOPBNLWSHKh2a30DoXe8/edit?usp=sharing"",""ชุมพร!M465"")"),0)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IFERROR(__xludf.DUMMYFUNCTION("IMPORTRANGE(""https://docs.google.com/spreadsheets/d/1IYY_tgx_IHuhSq3AJ5eI5OnqOPBNLWSHKh2a30DoXe8/edit?usp=sharing"",""ชุมพร!M466"")"),52441)</f>
        <v>52441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IFERROR(__xludf.DUMMYFUNCTION("IMPORTRANGE(""https://docs.google.com/spreadsheets/d/1IYY_tgx_IHuhSq3AJ5eI5OnqOPBNLWSHKh2a30DoXe8/edit?usp=sharing"",""ชุมพร!M467"")"),21495)</f>
        <v>21495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IFERROR(__xludf.DUMMYFUNCTION("IMPORTRANGE(""https://docs.google.com/spreadsheets/d/1IYY_tgx_IHuhSq3AJ5eI5OnqOPBNLWSHKh2a30DoXe8/edit?usp=sharing"",""ชุมพร!I468"")"),1500)</f>
        <v>1500</v>
      </c>
      <c r="J573" s="426">
        <f ca="1">IFERROR(__xludf.DUMMYFUNCTION("IMPORTRANGE(""https://docs.google.com/spreadsheets/d/1IYY_tgx_IHuhSq3AJ5eI5OnqOPBNLWSHKh2a30DoXe8/edit?usp=sharing"",""ชุมพร!J468"")"),2382)</f>
        <v>2382</v>
      </c>
      <c r="K573" s="208">
        <f ca="1">IF(I573&gt;0,J573*100/I573,0)</f>
        <v>158.80000000000001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IFERROR(__xludf.DUMMYFUNCTION("IMPORTRANGE(""https://docs.google.com/spreadsheets/d/1IYY_tgx_IHuhSq3AJ5eI5OnqOPBNLWSHKh2a30DoXe8/edit?usp=sharing"",""ชุมพร!I470"")"),0)</f>
        <v>0</v>
      </c>
      <c r="J575" s="204">
        <f ca="1">IFERROR(__xludf.DUMMYFUNCTION("IMPORTRANGE(""https://docs.google.com/spreadsheets/d/1IYY_tgx_IHuhSq3AJ5eI5OnqOPBNLWSHKh2a30DoXe8/edit?usp=sharing"",""ชุมพร!J470"")"),1)</f>
        <v>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IFERROR(__xludf.DUMMYFUNCTION("IMPORTRANGE(""https://docs.google.com/spreadsheets/d/1IYY_tgx_IHuhSq3AJ5eI5OnqOPBNLWSHKh2a30DoXe8/edit?usp=sharing"",""ชุมพร!I471"")"),0)</f>
        <v>0</v>
      </c>
      <c r="J576" s="204">
        <f ca="1">IFERROR(__xludf.DUMMYFUNCTION("IMPORTRANGE(""https://docs.google.com/spreadsheets/d/1IYY_tgx_IHuhSq3AJ5eI5OnqOPBNLWSHKh2a30DoXe8/edit?usp=sharing"",""ชุมพร!J471"")"),16)</f>
        <v>16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IFERROR(__xludf.DUMMYFUNCTION("IMPORTRANGE(""https://docs.google.com/spreadsheets/d/1IYY_tgx_IHuhSq3AJ5eI5OnqOPBNLWSHKh2a30DoXe8/edit?usp=sharing"",""ชุมพร!I472"")"),0)</f>
        <v>0</v>
      </c>
      <c r="J577" s="195">
        <f ca="1">IFERROR(__xludf.DUMMYFUNCTION("IMPORTRANGE(""https://docs.google.com/spreadsheets/d/1IYY_tgx_IHuhSq3AJ5eI5OnqOPBNLWSHKh2a30DoXe8/edit?usp=sharing"",""ชุมพร!J472"")"),2366)</f>
        <v>2366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IFERROR(__xludf.DUMMYFUNCTION("IMPORTRANGE(""https://docs.google.com/spreadsheets/d/1IYY_tgx_IHuhSq3AJ5eI5OnqOPBNLWSHKh2a30DoXe8/edit?usp=sharing"",""ชุมพร!I473"")"),0)</f>
        <v>0</v>
      </c>
      <c r="J578" s="204">
        <f ca="1">IFERROR(__xludf.DUMMYFUNCTION("IMPORTRANGE(""https://docs.google.com/spreadsheets/d/1IYY_tgx_IHuhSq3AJ5eI5OnqOPBNLWSHKh2a30DoXe8/edit?usp=sharing"",""ชุมพร!J473"")"),0)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IFERROR(__xludf.DUMMYFUNCTION("IMPORTRANGE(""https://docs.google.com/spreadsheets/d/1IYY_tgx_IHuhSq3AJ5eI5OnqOPBNLWSHKh2a30DoXe8/edit?usp=sharing"",""ชุมพร!I474"")"),0)</f>
        <v>0</v>
      </c>
      <c r="J579" s="204">
        <f ca="1">IFERROR(__xludf.DUMMYFUNCTION("IMPORTRANGE(""https://docs.google.com/spreadsheets/d/1IYY_tgx_IHuhSq3AJ5eI5OnqOPBNLWSHKh2a30DoXe8/edit?usp=sharing"",""ชุมพร!J474"")"),0)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IFERROR(__xludf.DUMMYFUNCTION("IMPORTRANGE(""https://docs.google.com/spreadsheets/d/1IYY_tgx_IHuhSq3AJ5eI5OnqOPBNLWSHKh2a30DoXe8/edit?usp=sharing"",""ชุมพร!I475"")"),0)</f>
        <v>0</v>
      </c>
      <c r="J580" s="377">
        <f ca="1">IFERROR(__xludf.DUMMYFUNCTION("IMPORTRANGE(""https://docs.google.com/spreadsheets/d/1IYY_tgx_IHuhSq3AJ5eI5OnqOPBNLWSHKh2a30DoXe8/edit?usp=sharing"",""ชุมพร!J475"")"),0)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IFERROR(__xludf.DUMMYFUNCTION("IMPORTRANGE(""https://docs.google.com/spreadsheets/d/1IYY_tgx_IHuhSq3AJ5eI5OnqOPBNLWSHKh2a30DoXe8/edit?usp=sharing"",""ชุมพร!L475"")"),0)</f>
        <v>0</v>
      </c>
      <c r="M580" s="379"/>
      <c r="N580" s="379">
        <f ca="1">IFERROR(__xludf.DUMMYFUNCTION("IMPORTRANGE(""https://docs.google.com/spreadsheets/d/1IYY_tgx_IHuhSq3AJ5eI5OnqOPBNLWSHKh2a30DoXe8/edit?usp=sharing"",""ชุมพร!M475"")"),0)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IFERROR(__xludf.DUMMYFUNCTION("IMPORTRANGE(""https://docs.google.com/spreadsheets/d/1IYY_tgx_IHuhSq3AJ5eI5OnqOPBNLWSHKh2a30DoXe8/edit?usp=sharing"",""ชุมพร!L476"")"),0)</f>
        <v>0</v>
      </c>
      <c r="M581" s="168"/>
      <c r="N581" s="175">
        <f ca="1">IFERROR(__xludf.DUMMYFUNCTION("IMPORTRANGE(""https://docs.google.com/spreadsheets/d/1IYY_tgx_IHuhSq3AJ5eI5OnqOPBNLWSHKh2a30DoXe8/edit?usp=sharing"",""ชุมพร!M476"")"),0)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IFERROR(__xludf.DUMMYFUNCTION("IMPORTRANGE(""https://docs.google.com/spreadsheets/d/1IYY_tgx_IHuhSq3AJ5eI5OnqOPBNLWSHKh2a30DoXe8/edit?usp=sharing"",""ชุมพร!L477"")"),0)</f>
        <v>0</v>
      </c>
      <c r="M582" s="169"/>
      <c r="N582" s="175">
        <f ca="1">IFERROR(__xludf.DUMMYFUNCTION("IMPORTRANGE(""https://docs.google.com/spreadsheets/d/1IYY_tgx_IHuhSq3AJ5eI5OnqOPBNLWSHKh2a30DoXe8/edit?usp=sharing"",""ชุมพร!M477"")"),0)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IFERROR(__xludf.DUMMYFUNCTION("IMPORTRANGE(""https://docs.google.com/spreadsheets/d/1IYY_tgx_IHuhSq3AJ5eI5OnqOPBNLWSHKh2a30DoXe8/edit?usp=sharing"",""ชุมพร!L478"")"),0)</f>
        <v>0</v>
      </c>
      <c r="M583" s="175"/>
      <c r="N583" s="175">
        <f ca="1">IFERROR(__xludf.DUMMYFUNCTION("IMPORTRANGE(""https://docs.google.com/spreadsheets/d/1IYY_tgx_IHuhSq3AJ5eI5OnqOPBNLWSHKh2a30DoXe8/edit?usp=sharing"",""ชุมพร!M478"")"),0)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IFERROR(__xludf.DUMMYFUNCTION("IMPORTRANGE(""https://docs.google.com/spreadsheets/d/1IYY_tgx_IHuhSq3AJ5eI5OnqOPBNLWSHKh2a30DoXe8/edit?usp=sharing"",""ชุมพร!L479"")"),0)</f>
        <v>0</v>
      </c>
      <c r="M584" s="175"/>
      <c r="N584" s="175">
        <f ca="1">IFERROR(__xludf.DUMMYFUNCTION("IMPORTRANGE(""https://docs.google.com/spreadsheets/d/1IYY_tgx_IHuhSq3AJ5eI5OnqOPBNLWSHKh2a30DoXe8/edit?usp=sharing"",""ชุมพร!M479"")"),0)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IFERROR(__xludf.DUMMYFUNCTION("IMPORTRANGE(""https://docs.google.com/spreadsheets/d/1IYY_tgx_IHuhSq3AJ5eI5OnqOPBNLWSHKh2a30DoXe8/edit?usp=sharing"",""ชุมพร!M480"")"),0)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IFERROR(__xludf.DUMMYFUNCTION("IMPORTRANGE(""https://docs.google.com/spreadsheets/d/1IYY_tgx_IHuhSq3AJ5eI5OnqOPBNLWSHKh2a30DoXe8/edit?usp=sharing"",""ชุมพร!M481"")"),0)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IFERROR(__xludf.DUMMYFUNCTION("IMPORTRANGE(""https://docs.google.com/spreadsheets/d/1IYY_tgx_IHuhSq3AJ5eI5OnqOPBNLWSHKh2a30DoXe8/edit?usp=sharing"",""ชุมพร!M482"")"),0)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IFERROR(__xludf.DUMMYFUNCTION("IMPORTRANGE(""https://docs.google.com/spreadsheets/d/1IYY_tgx_IHuhSq3AJ5eI5OnqOPBNLWSHKh2a30DoXe8/edit?usp=sharing"",""ชุมพร!M483"")"),0)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IFERROR(__xludf.DUMMYFUNCTION("IMPORTRANGE(""https://docs.google.com/spreadsheets/d/1IYY_tgx_IHuhSq3AJ5eI5OnqOPBNLWSHKh2a30DoXe8/edit?usp=sharing"",""ชุมพร!I484"")"),0)</f>
        <v>0</v>
      </c>
      <c r="J589" s="194">
        <f ca="1">IFERROR(__xludf.DUMMYFUNCTION("IMPORTRANGE(""https://docs.google.com/spreadsheets/d/1IYY_tgx_IHuhSq3AJ5eI5OnqOPBNLWSHKh2a30DoXe8/edit?usp=sharing"",""ชุมพร!J484"")"),2)</f>
        <v>2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IFERROR(__xludf.DUMMYFUNCTION("IMPORTRANGE(""https://docs.google.com/spreadsheets/d/1IYY_tgx_IHuhSq3AJ5eI5OnqOPBNLWSHKh2a30DoXe8/edit?usp=sharing"",""ชุมพร!I485"")"),0)</f>
        <v>0</v>
      </c>
      <c r="J590" s="194">
        <f ca="1">IFERROR(__xludf.DUMMYFUNCTION("IMPORTRANGE(""https://docs.google.com/spreadsheets/d/1IYY_tgx_IHuhSq3AJ5eI5OnqOPBNLWSHKh2a30DoXe8/edit?usp=sharing"",""ชุมพร!J485"")"),0.88)</f>
        <v>0.88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IFERROR(__xludf.DUMMYFUNCTION("IMPORTRANGE(""https://docs.google.com/spreadsheets/d/1IYY_tgx_IHuhSq3AJ5eI5OnqOPBNLWSHKh2a30DoXe8/edit?usp=sharing"",""ชุมพร!I486"")"),0)</f>
        <v>0</v>
      </c>
      <c r="J591" s="194">
        <f ca="1">IFERROR(__xludf.DUMMYFUNCTION("IMPORTRANGE(""https://docs.google.com/spreadsheets/d/1IYY_tgx_IHuhSq3AJ5eI5OnqOPBNLWSHKh2a30DoXe8/edit?usp=sharing"",""ชุมพร!J486"")"),0)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IFERROR(__xludf.DUMMYFUNCTION("IMPORTRANGE(""https://docs.google.com/spreadsheets/d/1IYY_tgx_IHuhSq3AJ5eI5OnqOPBNLWSHKh2a30DoXe8/edit?usp=sharing"",""ชุมพร!I487"")"),0)</f>
        <v>0</v>
      </c>
      <c r="J592" s="194">
        <f ca="1">IFERROR(__xludf.DUMMYFUNCTION("IMPORTRANGE(""https://docs.google.com/spreadsheets/d/1IYY_tgx_IHuhSq3AJ5eI5OnqOPBNLWSHKh2a30DoXe8/edit?usp=sharing"",""ชุมพร!J487"")"),0)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IFERROR(__xludf.DUMMYFUNCTION("IMPORTRANGE(""https://docs.google.com/spreadsheets/d/1IYY_tgx_IHuhSq3AJ5eI5OnqOPBNLWSHKh2a30DoXe8/edit?usp=sharing"",""ชุมพร!I488"")"),0)</f>
        <v>0</v>
      </c>
      <c r="J593" s="194">
        <f ca="1">IFERROR(__xludf.DUMMYFUNCTION("IMPORTRANGE(""https://docs.google.com/spreadsheets/d/1IYY_tgx_IHuhSq3AJ5eI5OnqOPBNLWSHKh2a30DoXe8/edit?usp=sharing"",""ชุมพร!J488"")"),0)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IFERROR(__xludf.DUMMYFUNCTION("IMPORTRANGE(""https://docs.google.com/spreadsheets/d/1IYY_tgx_IHuhSq3AJ5eI5OnqOPBNLWSHKh2a30DoXe8/edit?usp=sharing"",""ชุมพร!I489"")"),0)</f>
        <v>0</v>
      </c>
      <c r="J594" s="194">
        <f ca="1">IFERROR(__xludf.DUMMYFUNCTION("IMPORTRANGE(""https://docs.google.com/spreadsheets/d/1IYY_tgx_IHuhSq3AJ5eI5OnqOPBNLWSHKh2a30DoXe8/edit?usp=sharing"",""ชุมพร!J489"")"),0)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IFERROR(__xludf.DUMMYFUNCTION("IMPORTRANGE(""https://docs.google.com/spreadsheets/d/1IYY_tgx_IHuhSq3AJ5eI5OnqOPBNLWSHKh2a30DoXe8/edit?usp=sharing"",""ชุมพร!I490"")"),0)</f>
        <v>0</v>
      </c>
      <c r="J595" s="194">
        <f ca="1">IFERROR(__xludf.DUMMYFUNCTION("IMPORTRANGE(""https://docs.google.com/spreadsheets/d/1IYY_tgx_IHuhSq3AJ5eI5OnqOPBNLWSHKh2a30DoXe8/edit?usp=sharing"",""ชุมพร!J490"")"),0)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IFERROR(__xludf.DUMMYFUNCTION("IMPORTRANGE(""https://docs.google.com/spreadsheets/d/1IYY_tgx_IHuhSq3AJ5eI5OnqOPBNLWSHKh2a30DoXe8/edit?usp=sharing"",""ชุมพร!I491"")"),0)</f>
        <v>0</v>
      </c>
      <c r="J596" s="247">
        <f ca="1">IFERROR(__xludf.DUMMYFUNCTION("IMPORTRANGE(""https://docs.google.com/spreadsheets/d/1IYY_tgx_IHuhSq3AJ5eI5OnqOPBNLWSHKh2a30DoXe8/edit?usp=sharing"",""ชุมพร!J491"")"),0)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IFERROR(__xludf.DUMMYFUNCTION("IMPORTRANGE(""https://docs.google.com/spreadsheets/d/1IYY_tgx_IHuhSq3AJ5eI5OnqOPBNLWSHKh2a30DoXe8/edit?usp=sharing"",""ชุมพร!I492"")"),100)</f>
        <v>100</v>
      </c>
      <c r="J597" s="493">
        <f ca="1">IFERROR(__xludf.DUMMYFUNCTION("IMPORTRANGE(""https://docs.google.com/spreadsheets/d/1IYY_tgx_IHuhSq3AJ5eI5OnqOPBNLWSHKh2a30DoXe8/edit?usp=sharing"",""ชุมพร!J492"")"),0)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IFERROR(__xludf.DUMMYFUNCTION("IMPORTRANGE(""https://docs.google.com/spreadsheets/d/1IYY_tgx_IHuhSq3AJ5eI5OnqOPBNLWSHKh2a30DoXe8/edit?usp=sharing"",""ชุมพร!L492"")"),12900)</f>
        <v>12900</v>
      </c>
      <c r="M597" s="418"/>
      <c r="N597" s="418">
        <f ca="1">IFERROR(__xludf.DUMMYFUNCTION("IMPORTRANGE(""https://docs.google.com/spreadsheets/d/1IYY_tgx_IHuhSq3AJ5eI5OnqOPBNLWSHKh2a30DoXe8/edit?usp=sharing"",""ชุมพร!M492"")"),3200)</f>
        <v>3200</v>
      </c>
      <c r="O597" s="418">
        <f t="shared" ref="O597:O601" ca="1" si="126">+IF(L597&gt;0,N597*100/L597,0)</f>
        <v>24.806201550387598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IFERROR(__xludf.DUMMYFUNCTION("IMPORTRANGE(""https://docs.google.com/spreadsheets/d/1IYY_tgx_IHuhSq3AJ5eI5OnqOPBNLWSHKh2a30DoXe8/edit?usp=sharing"",""ชุมพร!L493"")"),0)</f>
        <v>0</v>
      </c>
      <c r="M598" s="168"/>
      <c r="N598" s="175">
        <f ca="1">IFERROR(__xludf.DUMMYFUNCTION("IMPORTRANGE(""https://docs.google.com/spreadsheets/d/1IYY_tgx_IHuhSq3AJ5eI5OnqOPBNLWSHKh2a30DoXe8/edit?usp=sharing"",""ชุมพร!M493"")"),0)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IFERROR(__xludf.DUMMYFUNCTION("IMPORTRANGE(""https://docs.google.com/spreadsheets/d/1IYY_tgx_IHuhSq3AJ5eI5OnqOPBNLWSHKh2a30DoXe8/edit?usp=sharing"",""ชุมพร!L494"")"),12900)</f>
        <v>12900</v>
      </c>
      <c r="M599" s="169"/>
      <c r="N599" s="175">
        <f ca="1">IFERROR(__xludf.DUMMYFUNCTION("IMPORTRANGE(""https://docs.google.com/spreadsheets/d/1IYY_tgx_IHuhSq3AJ5eI5OnqOPBNLWSHKh2a30DoXe8/edit?usp=sharing"",""ชุมพร!M494"")"),3200)</f>
        <v>3200</v>
      </c>
      <c r="O599" s="175">
        <f t="shared" ca="1" si="126"/>
        <v>24.806201550387598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IFERROR(__xludf.DUMMYFUNCTION("IMPORTRANGE(""https://docs.google.com/spreadsheets/d/1IYY_tgx_IHuhSq3AJ5eI5OnqOPBNLWSHKh2a30DoXe8/edit?usp=sharing"",""ชุมพร!L495"")"),0)</f>
        <v>0</v>
      </c>
      <c r="M600" s="175"/>
      <c r="N600" s="175">
        <f ca="1">IFERROR(__xludf.DUMMYFUNCTION("IMPORTRANGE(""https://docs.google.com/spreadsheets/d/1IYY_tgx_IHuhSq3AJ5eI5OnqOPBNLWSHKh2a30DoXe8/edit?usp=sharing"",""ชุมพร!M495"")"),0)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IFERROR(__xludf.DUMMYFUNCTION("IMPORTRANGE(""https://docs.google.com/spreadsheets/d/1IYY_tgx_IHuhSq3AJ5eI5OnqOPBNLWSHKh2a30DoXe8/edit?usp=sharing"",""ชุมพร!L496"")"),12900)</f>
        <v>12900</v>
      </c>
      <c r="M601" s="175"/>
      <c r="N601" s="175">
        <f ca="1">IFERROR(__xludf.DUMMYFUNCTION("IMPORTRANGE(""https://docs.google.com/spreadsheets/d/1IYY_tgx_IHuhSq3AJ5eI5OnqOPBNLWSHKh2a30DoXe8/edit?usp=sharing"",""ชุมพร!M496"")"),3200)</f>
        <v>3200</v>
      </c>
      <c r="O601" s="175">
        <f t="shared" ca="1" si="126"/>
        <v>24.806201550387598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IFERROR(__xludf.DUMMYFUNCTION("IMPORTRANGE(""https://docs.google.com/spreadsheets/d/1IYY_tgx_IHuhSq3AJ5eI5OnqOPBNLWSHKh2a30DoXe8/edit?usp=sharing"",""ชุมพร!M497"")"),0)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IFERROR(__xludf.DUMMYFUNCTION("IMPORTRANGE(""https://docs.google.com/spreadsheets/d/1IYY_tgx_IHuhSq3AJ5eI5OnqOPBNLWSHKh2a30DoXe8/edit?usp=sharing"",""ชุมพร!M498"")"),0)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IFERROR(__xludf.DUMMYFUNCTION("IMPORTRANGE(""https://docs.google.com/spreadsheets/d/1IYY_tgx_IHuhSq3AJ5eI5OnqOPBNLWSHKh2a30DoXe8/edit?usp=sharing"",""ชุมพร!M499"")"),0)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IFERROR(__xludf.DUMMYFUNCTION("IMPORTRANGE(""https://docs.google.com/spreadsheets/d/1IYY_tgx_IHuhSq3AJ5eI5OnqOPBNLWSHKh2a30DoXe8/edit?usp=sharing"",""ชุมพร!M500"")"),3200)</f>
        <v>3200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IFERROR(__xludf.DUMMYFUNCTION("IMPORTRANGE(""https://docs.google.com/spreadsheets/d/1IYY_tgx_IHuhSq3AJ5eI5OnqOPBNLWSHKh2a30DoXe8/edit?usp=sharing"",""ชุมพร!J502"")"),0)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IFERROR(__xludf.DUMMYFUNCTION("IMPORTRANGE(""https://docs.google.com/spreadsheets/d/1IYY_tgx_IHuhSq3AJ5eI5OnqOPBNLWSHKh2a30DoXe8/edit?usp=sharing"",""ชุมพร!J503"")"),1)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IFERROR(__xludf.DUMMYFUNCTION("IMPORTRANGE(""https://docs.google.com/spreadsheets/d/1IYY_tgx_IHuhSq3AJ5eI5OnqOPBNLWSHKh2a30DoXe8/edit?usp=sharing"",""ชุมพร!J166"")"),0)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IFERROR(__xludf.DUMMYFUNCTION("IMPORTRANGE(""https://docs.google.com/spreadsheets/d/1IYY_tgx_IHuhSq3AJ5eI5OnqOPBNLWSHKh2a30DoXe8/edit?usp=sharing"",""ชุมพร!J166"")"),0)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IFERROR(__xludf.DUMMYFUNCTION("IMPORTRANGE(""https://docs.google.com/spreadsheets/d/1IYY_tgx_IHuhSq3AJ5eI5OnqOPBNLWSHKh2a30DoXe8/edit?usp=sharing"",""ชุมพร!I506"")"),100)</f>
        <v>100</v>
      </c>
      <c r="J611" s="166">
        <f ca="1">IFERROR(__xludf.DUMMYFUNCTION("IMPORTRANGE(""https://docs.google.com/spreadsheets/d/1IYY_tgx_IHuhSq3AJ5eI5OnqOPBNLWSHKh2a30DoXe8/edit?usp=sharing"",""ชุมพร!J506"")"),0)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IFERROR(__xludf.DUMMYFUNCTION("IMPORTRANGE(""https://docs.google.com/spreadsheets/d/1IYY_tgx_IHuhSq3AJ5eI5OnqOPBNLWSHKh2a30DoXe8/edit?usp=sharing"",""ชุมพร!I507"")"),0)</f>
        <v>0</v>
      </c>
      <c r="J612" s="204">
        <f ca="1">IFERROR(__xludf.DUMMYFUNCTION("IMPORTRANGE(""https://docs.google.com/spreadsheets/d/1IYY_tgx_IHuhSq3AJ5eI5OnqOPBNLWSHKh2a30DoXe8/edit?usp=sharing"",""ชุมพร!J507"")"),0)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IFERROR(__xludf.DUMMYFUNCTION("IMPORTRANGE(""https://docs.google.com/spreadsheets/d/1IYY_tgx_IHuhSq3AJ5eI5OnqOPBNLWSHKh2a30DoXe8/edit?usp=sharing"",""ชุมพร!I508"")"),0)</f>
        <v>0</v>
      </c>
      <c r="J613" s="204">
        <f ca="1">IFERROR(__xludf.DUMMYFUNCTION("IMPORTRANGE(""https://docs.google.com/spreadsheets/d/1IYY_tgx_IHuhSq3AJ5eI5OnqOPBNLWSHKh2a30DoXe8/edit?usp=sharing"",""ชุมพร!J508"")"),0)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IFERROR(__xludf.DUMMYFUNCTION("IMPORTRANGE(""https://docs.google.com/spreadsheets/d/1IYY_tgx_IHuhSq3AJ5eI5OnqOPBNLWSHKh2a30DoXe8/edit?usp=sharing"",""ชุมพร!I509"")"),0)</f>
        <v>0</v>
      </c>
      <c r="J614" s="204">
        <f ca="1">IFERROR(__xludf.DUMMYFUNCTION("IMPORTRANGE(""https://docs.google.com/spreadsheets/d/1IYY_tgx_IHuhSq3AJ5eI5OnqOPBNLWSHKh2a30DoXe8/edit?usp=sharing"",""ชุมพร!J509"")"),0)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IFERROR(__xludf.DUMMYFUNCTION("IMPORTRANGE(""https://docs.google.com/spreadsheets/d/1IYY_tgx_IHuhSq3AJ5eI5OnqOPBNLWSHKh2a30DoXe8/edit?usp=sharing"",""ชุมพร!I510"")"),0)</f>
        <v>0</v>
      </c>
      <c r="J615" s="204">
        <f ca="1">IFERROR(__xludf.DUMMYFUNCTION("IMPORTRANGE(""https://docs.google.com/spreadsheets/d/1IYY_tgx_IHuhSq3AJ5eI5OnqOPBNLWSHKh2a30DoXe8/edit?usp=sharing"",""ชุมพร!J510"")"),0)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IFERROR(__xludf.DUMMYFUNCTION("IMPORTRANGE(""https://docs.google.com/spreadsheets/d/1IYY_tgx_IHuhSq3AJ5eI5OnqOPBNLWSHKh2a30DoXe8/edit?usp=sharing"",""ชุมพร!I511"")"),0)</f>
        <v>0</v>
      </c>
      <c r="J616" s="204">
        <f ca="1">IFERROR(__xludf.DUMMYFUNCTION("IMPORTRANGE(""https://docs.google.com/spreadsheets/d/1IYY_tgx_IHuhSq3AJ5eI5OnqOPBNLWSHKh2a30DoXe8/edit?usp=sharing"",""ชุมพร!J511"")"),0)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IFERROR(__xludf.DUMMYFUNCTION("IMPORTRANGE(""https://docs.google.com/spreadsheets/d/1IYY_tgx_IHuhSq3AJ5eI5OnqOPBNLWSHKh2a30DoXe8/edit?usp=sharing"",""ชุมพร!I512"")"),0)</f>
        <v>0</v>
      </c>
      <c r="J617" s="194">
        <f ca="1">IFERROR(__xludf.DUMMYFUNCTION("IMPORTRANGE(""https://docs.google.com/spreadsheets/d/1IYY_tgx_IHuhSq3AJ5eI5OnqOPBNLWSHKh2a30DoXe8/edit?usp=sharing"",""ชุมพร!J512"")"),0)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IFERROR(__xludf.DUMMYFUNCTION("IMPORTRANGE(""https://docs.google.com/spreadsheets/d/1IYY_tgx_IHuhSq3AJ5eI5OnqOPBNLWSHKh2a30DoXe8/edit?usp=sharing"",""ชุมพร!I513"")"),0)</f>
        <v>0</v>
      </c>
      <c r="J618" s="195">
        <f ca="1">IFERROR(__xludf.DUMMYFUNCTION("IMPORTRANGE(""https://docs.google.com/spreadsheets/d/1IYY_tgx_IHuhSq3AJ5eI5OnqOPBNLWSHKh2a30DoXe8/edit?usp=sharing"",""ชุมพร!J513"")"),0)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IFERROR(__xludf.DUMMYFUNCTION("IMPORTRANGE(""https://docs.google.com/spreadsheets/d/1IYY_tgx_IHuhSq3AJ5eI5OnqOPBNLWSHKh2a30DoXe8/edit?usp=sharing"",""ชุมพร!I514"")"),0)</f>
        <v>0</v>
      </c>
      <c r="J619" s="195">
        <f ca="1">IFERROR(__xludf.DUMMYFUNCTION("IMPORTRANGE(""https://docs.google.com/spreadsheets/d/1IYY_tgx_IHuhSq3AJ5eI5OnqOPBNLWSHKh2a30DoXe8/edit?usp=sharing"",""ชุมพร!J514"")"),0)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IFERROR(__xludf.DUMMYFUNCTION("IMPORTRANGE(""https://docs.google.com/spreadsheets/d/1IYY_tgx_IHuhSq3AJ5eI5OnqOPBNLWSHKh2a30DoXe8/edit?usp=sharing"",""ชุมพร!I515"")"),0)</f>
        <v>0</v>
      </c>
      <c r="J620" s="209">
        <f ca="1">IFERROR(__xludf.DUMMYFUNCTION("IMPORTRANGE(""https://docs.google.com/spreadsheets/d/1IYY_tgx_IHuhSq3AJ5eI5OnqOPBNLWSHKh2a30DoXe8/edit?usp=sharing"",""ชุมพร!J515"")"),0)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IFERROR(__xludf.DUMMYFUNCTION("IMPORTRANGE(""https://docs.google.com/spreadsheets/d/1IYY_tgx_IHuhSq3AJ5eI5OnqOPBNLWSHKh2a30DoXe8/edit?usp=sharing"",""ชุมพร!I516"")"),0)</f>
        <v>0</v>
      </c>
      <c r="J621" s="209">
        <f ca="1">IFERROR(__xludf.DUMMYFUNCTION("IMPORTRANGE(""https://docs.google.com/spreadsheets/d/1IYY_tgx_IHuhSq3AJ5eI5OnqOPBNLWSHKh2a30DoXe8/edit?usp=sharing"",""ชุมพร!J516"")"),0)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IFERROR(__xludf.DUMMYFUNCTION("IMPORTRANGE(""https://docs.google.com/spreadsheets/d/1IYY_tgx_IHuhSq3AJ5eI5OnqOPBNLWSHKh2a30DoXe8/edit?usp=sharing"",""ชุมพร!I517"")"),0)</f>
        <v>0</v>
      </c>
      <c r="J622" s="195">
        <f ca="1">IFERROR(__xludf.DUMMYFUNCTION("IMPORTRANGE(""https://docs.google.com/spreadsheets/d/1IYY_tgx_IHuhSq3AJ5eI5OnqOPBNLWSHKh2a30DoXe8/edit?usp=sharing"",""ชุมพร!J517"")"),0)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IFERROR(__xludf.DUMMYFUNCTION("IMPORTRANGE(""https://docs.google.com/spreadsheets/d/1IYY_tgx_IHuhSq3AJ5eI5OnqOPBNLWSHKh2a30DoXe8/edit?usp=sharing"",""ชุมพร!I518"")"),0)</f>
        <v>0</v>
      </c>
      <c r="J623" s="195">
        <f ca="1">IFERROR(__xludf.DUMMYFUNCTION("IMPORTRANGE(""https://docs.google.com/spreadsheets/d/1IYY_tgx_IHuhSq3AJ5eI5OnqOPBNLWSHKh2a30DoXe8/edit?usp=sharing"",""ชุมพร!J518"")"),0)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IFERROR(__xludf.DUMMYFUNCTION("IMPORTRANGE(""https://docs.google.com/spreadsheets/d/1IYY_tgx_IHuhSq3AJ5eI5OnqOPBNLWSHKh2a30DoXe8/edit?usp=sharing"",""ชุมพร!I519"")"),0)</f>
        <v>0</v>
      </c>
      <c r="J624" s="194">
        <f ca="1">IFERROR(__xludf.DUMMYFUNCTION("IMPORTRANGE(""https://docs.google.com/spreadsheets/d/1IYY_tgx_IHuhSq3AJ5eI5OnqOPBNLWSHKh2a30DoXe8/edit?usp=sharing"",""ชุมพร!J519"")"),0)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IFERROR(__xludf.DUMMYFUNCTION("IMPORTRANGE(""https://docs.google.com/spreadsheets/d/1IYY_tgx_IHuhSq3AJ5eI5OnqOPBNLWSHKh2a30DoXe8/edit?usp=sharing"",""ชุมพร!I520"")"),0)</f>
        <v>0</v>
      </c>
      <c r="J625" s="195">
        <f ca="1">IFERROR(__xludf.DUMMYFUNCTION("IMPORTRANGE(""https://docs.google.com/spreadsheets/d/1IYY_tgx_IHuhSq3AJ5eI5OnqOPBNLWSHKh2a30DoXe8/edit?usp=sharing"",""ชุมพร!J520"")"),0)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IFERROR(__xludf.DUMMYFUNCTION("IMPORTRANGE(""https://docs.google.com/spreadsheets/d/1IYY_tgx_IHuhSq3AJ5eI5OnqOPBNLWSHKh2a30DoXe8/edit?usp=sharing"",""ชุมพร!I521"")"),0)</f>
        <v>0</v>
      </c>
      <c r="J626" s="195">
        <f ca="1">IFERROR(__xludf.DUMMYFUNCTION("IMPORTRANGE(""https://docs.google.com/spreadsheets/d/1IYY_tgx_IHuhSq3AJ5eI5OnqOPBNLWSHKh2a30DoXe8/edit?usp=sharing"",""ชุมพร!J521"")"),0)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IFERROR(__xludf.DUMMYFUNCTION("IMPORTRANGE(""https://docs.google.com/spreadsheets/d/1IYY_tgx_IHuhSq3AJ5eI5OnqOPBNLWSHKh2a30DoXe8/edit?usp=sharing"",""ชุมพร!I523"")"),996730.61)</f>
        <v>996730.61</v>
      </c>
      <c r="J628" s="347">
        <f ca="1">IFERROR(__xludf.DUMMYFUNCTION("IMPORTRANGE(""https://docs.google.com/spreadsheets/d/1IYY_tgx_IHuhSq3AJ5eI5OnqOPBNLWSHKh2a30DoXe8/edit?usp=sharing"",""ชุมพร!J523"")"),27528.47)</f>
        <v>27528.47</v>
      </c>
      <c r="K628" s="348">
        <f t="shared" ref="K628:K635" ca="1" si="129">IF(I628&gt;0,J628*100/I628,0)</f>
        <v>2.7618766519069782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IFERROR(__xludf.DUMMYFUNCTION("IMPORTRANGE(""https://docs.google.com/spreadsheets/d/1IYY_tgx_IHuhSq3AJ5eI5OnqOPBNLWSHKh2a30DoXe8/edit?usp=sharing"",""ชุมพร!I524"")"),100)</f>
        <v>100</v>
      </c>
      <c r="J629" s="347">
        <f ca="1">IFERROR(__xludf.DUMMYFUNCTION("IMPORTRANGE(""https://docs.google.com/spreadsheets/d/1IYY_tgx_IHuhSq3AJ5eI5OnqOPBNLWSHKh2a30DoXe8/edit?usp=sharing"",""ชุมพร!J524"")"),3)</f>
        <v>3</v>
      </c>
      <c r="K629" s="348">
        <f t="shared" ca="1" si="129"/>
        <v>3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IFERROR(__xludf.DUMMYFUNCTION("IMPORTRANGE(""https://docs.google.com/spreadsheets/d/1IYY_tgx_IHuhSq3AJ5eI5OnqOPBNLWSHKh2a30DoXe8/edit?usp=sharing"",""ชุมพร!I525"")"),670056.96)</f>
        <v>670056.95999999996</v>
      </c>
      <c r="J630" s="347">
        <f ca="1">IFERROR(__xludf.DUMMYFUNCTION("IMPORTRANGE(""https://docs.google.com/spreadsheets/d/1IYY_tgx_IHuhSq3AJ5eI5OnqOPBNLWSHKh2a30DoXe8/edit?usp=sharing"",""ชุมพร!J525"")"),467340.18)</f>
        <v>467340.18</v>
      </c>
      <c r="K630" s="348">
        <f t="shared" ca="1" si="129"/>
        <v>69.746336192075375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IFERROR(__xludf.DUMMYFUNCTION("IMPORTRANGE(""https://docs.google.com/spreadsheets/d/1IYY_tgx_IHuhSq3AJ5eI5OnqOPBNLWSHKh2a30DoXe8/edit?usp=sharing"",""ชุมพร!I526"")"),27)</f>
        <v>27</v>
      </c>
      <c r="J631" s="347">
        <f ca="1">IFERROR(__xludf.DUMMYFUNCTION("IMPORTRANGE(""https://docs.google.com/spreadsheets/d/1IYY_tgx_IHuhSq3AJ5eI5OnqOPBNLWSHKh2a30DoXe8/edit?usp=sharing"",""ชุมพร!J526"")"),25)</f>
        <v>25</v>
      </c>
      <c r="K631" s="348">
        <f t="shared" ca="1" si="129"/>
        <v>92.592592592592595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IFERROR(__xludf.DUMMYFUNCTION("IMPORTRANGE(""https://docs.google.com/spreadsheets/d/1IYY_tgx_IHuhSq3AJ5eI5OnqOPBNLWSHKh2a30DoXe8/edit?usp=sharing"",""ชุมพร!I527"")"),0)</f>
        <v>0</v>
      </c>
      <c r="J632" s="347">
        <f ca="1">IFERROR(__xludf.DUMMYFUNCTION("IMPORTRANGE(""https://docs.google.com/spreadsheets/d/1IYY_tgx_IHuhSq3AJ5eI5OnqOPBNLWSHKh2a30DoXe8/edit?usp=sharing"",""ชุมพร!J527"")"),0)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IFERROR(__xludf.DUMMYFUNCTION("IMPORTRANGE(""https://docs.google.com/spreadsheets/d/1IYY_tgx_IHuhSq3AJ5eI5OnqOPBNLWSHKh2a30DoXe8/edit?usp=sharing"",""ชุมพร!I528"")"),0)</f>
        <v>0</v>
      </c>
      <c r="J633" s="347">
        <f ca="1">IFERROR(__xludf.DUMMYFUNCTION("IMPORTRANGE(""https://docs.google.com/spreadsheets/d/1IYY_tgx_IHuhSq3AJ5eI5OnqOPBNLWSHKh2a30DoXe8/edit?usp=sharing"",""ชุมพร!J528"")"),0)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IFERROR(__xludf.DUMMYFUNCTION("IMPORTRANGE(""https://docs.google.com/spreadsheets/d/1IYY_tgx_IHuhSq3AJ5eI5OnqOPBNLWSHKh2a30DoXe8/edit?usp=sharing"",""ชุมพร!I529"")"),870000)</f>
        <v>870000</v>
      </c>
      <c r="J634" s="347">
        <f ca="1">IFERROR(__xludf.DUMMYFUNCTION("IMPORTRANGE(""https://docs.google.com/spreadsheets/d/1IYY_tgx_IHuhSq3AJ5eI5OnqOPBNLWSHKh2a30DoXe8/edit?usp=sharing"",""ชุมพร!J529"")"),0)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IFERROR(__xludf.DUMMYFUNCTION("IMPORTRANGE(""https://docs.google.com/spreadsheets/d/1IYY_tgx_IHuhSq3AJ5eI5OnqOPBNLWSHKh2a30DoXe8/edit?usp=sharing"",""ชุมพร!I530"")"),29)</f>
        <v>29</v>
      </c>
      <c r="J635" s="517">
        <f ca="1">IFERROR(__xludf.DUMMYFUNCTION("IMPORTRANGE(""https://docs.google.com/spreadsheets/d/1IYY_tgx_IHuhSq3AJ5eI5OnqOPBNLWSHKh2a30DoXe8/edit?usp=sharing"",""ชุมพร!J530"")"),0)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A2" sqref="A2:P2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242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3894573.1</v>
      </c>
      <c r="M8" s="23">
        <f t="shared" ca="1" si="0"/>
        <v>2099326</v>
      </c>
      <c r="N8" s="23">
        <f t="shared" ca="1" si="0"/>
        <v>1916343.38</v>
      </c>
      <c r="O8" s="22">
        <f t="shared" ref="O8:O16" ca="1" si="1">IF(L8&gt;0,N8*100/L8,0)</f>
        <v>49.205479799570327</v>
      </c>
      <c r="P8" s="22">
        <f t="shared" ref="P8:P16" ca="1" si="2">IF(M8&gt;0,N8*100/M8,0)</f>
        <v>91.283744401774669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3894573.1</v>
      </c>
      <c r="M10" s="30">
        <f t="shared" ca="1" si="4"/>
        <v>2099326</v>
      </c>
      <c r="N10" s="30">
        <f t="shared" ca="1" si="4"/>
        <v>1916343.38</v>
      </c>
      <c r="O10" s="29">
        <f t="shared" ca="1" si="1"/>
        <v>49.205479799570327</v>
      </c>
      <c r="P10" s="29">
        <f t="shared" ca="1" si="2"/>
        <v>91.283744401774669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3650973.1</v>
      </c>
      <c r="M12" s="38">
        <f t="shared" ca="1" si="6"/>
        <v>1855726</v>
      </c>
      <c r="N12" s="38">
        <f t="shared" ca="1" si="6"/>
        <v>1672743.38</v>
      </c>
      <c r="O12" s="38">
        <f t="shared" ca="1" si="1"/>
        <v>45.816370983396176</v>
      </c>
      <c r="P12" s="38">
        <f t="shared" ca="1" si="2"/>
        <v>90.139566940378046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1786300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1864673.1</v>
      </c>
      <c r="M14" s="38">
        <f t="shared" si="8"/>
        <v>0</v>
      </c>
      <c r="N14" s="38">
        <f t="shared" ca="1" si="8"/>
        <v>410336.90999999986</v>
      </c>
      <c r="O14" s="41">
        <f t="shared" ca="1" si="1"/>
        <v>22.005836304497546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243600</v>
      </c>
      <c r="M16" s="38">
        <f t="shared" ca="1" si="10"/>
        <v>243600</v>
      </c>
      <c r="N16" s="38">
        <f t="shared" ca="1" si="10"/>
        <v>243600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2653275</v>
      </c>
      <c r="M18" s="23">
        <f t="shared" ca="1" si="11"/>
        <v>2099326</v>
      </c>
      <c r="N18" s="23">
        <f t="shared" ca="1" si="11"/>
        <v>1506006.47</v>
      </c>
      <c r="O18" s="22">
        <f t="shared" ref="O18:O20" ca="1" si="12">IF(L18&gt;0,N18*100/L18,0)</f>
        <v>56.760285684672716</v>
      </c>
      <c r="P18" s="22">
        <f t="shared" ref="P18:P26" ca="1" si="13">IF(M18&gt;0,N18*100/M18,0)</f>
        <v>71.737618168878967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2653275</v>
      </c>
      <c r="M20" s="30">
        <f t="shared" ca="1" si="15"/>
        <v>2099326</v>
      </c>
      <c r="N20" s="30">
        <f t="shared" ca="1" si="15"/>
        <v>1506006.47</v>
      </c>
      <c r="O20" s="29">
        <f t="shared" ca="1" si="12"/>
        <v>56.760285684672716</v>
      </c>
      <c r="P20" s="29">
        <f t="shared" ca="1" si="13"/>
        <v>71.737618168878967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2409675</v>
      </c>
      <c r="M22" s="42">
        <f t="shared" ca="1" si="18"/>
        <v>1855726</v>
      </c>
      <c r="N22" s="41">
        <f t="shared" ca="1" si="18"/>
        <v>1262406.47</v>
      </c>
      <c r="O22" s="41">
        <f t="shared" ca="1" si="17"/>
        <v>52.389076120223685</v>
      </c>
      <c r="P22" s="41">
        <f t="shared" ca="1" si="13"/>
        <v>68.027632850970463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1786300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623375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243600</v>
      </c>
      <c r="M26" s="50">
        <f t="shared" ca="1" si="22"/>
        <v>243600</v>
      </c>
      <c r="N26" s="50">
        <f t="shared" ca="1" si="22"/>
        <v>243600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1241298.1000000001</v>
      </c>
      <c r="M28" s="23">
        <f t="shared" si="23"/>
        <v>0</v>
      </c>
      <c r="N28" s="23">
        <f t="shared" ca="1" si="23"/>
        <v>410336.90999999986</v>
      </c>
      <c r="O28" s="22">
        <f t="shared" ref="O28:O30" ca="1" si="24">IF(L28&gt;0,N28*100/L28,0)</f>
        <v>33.057080325829858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1241298.1000000001</v>
      </c>
      <c r="M30" s="30">
        <f t="shared" si="27"/>
        <v>0</v>
      </c>
      <c r="N30" s="30">
        <f t="shared" ca="1" si="27"/>
        <v>410336.90999999986</v>
      </c>
      <c r="O30" s="29">
        <f t="shared" ca="1" si="24"/>
        <v>33.057080325829858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1241298.1000000001</v>
      </c>
      <c r="M32" s="41">
        <f t="shared" si="30"/>
        <v>0</v>
      </c>
      <c r="N32" s="41">
        <f t="shared" ca="1" si="30"/>
        <v>410336.90999999986</v>
      </c>
      <c r="O32" s="41">
        <f t="shared" ca="1" si="29"/>
        <v>33.057080325829858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1241298.1000000001</v>
      </c>
      <c r="M34" s="41">
        <f t="shared" si="32"/>
        <v>0</v>
      </c>
      <c r="N34" s="41">
        <f t="shared" ca="1" si="32"/>
        <v>410336.90999999986</v>
      </c>
      <c r="O34" s="41">
        <f t="shared" ca="1" si="29"/>
        <v>33.057080325829858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2653275</v>
      </c>
      <c r="M37" s="55">
        <f t="shared" ca="1" si="33"/>
        <v>2099326</v>
      </c>
      <c r="N37" s="55">
        <f t="shared" ca="1" si="33"/>
        <v>1506006.47</v>
      </c>
      <c r="O37" s="56">
        <f t="shared" ca="1" si="29"/>
        <v>56.760285684672716</v>
      </c>
      <c r="P37" s="56">
        <f t="shared" ca="1" si="25"/>
        <v>71.737618168878967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726100</v>
      </c>
      <c r="M41" s="79">
        <f t="shared" ca="1" si="34"/>
        <v>544500</v>
      </c>
      <c r="N41" s="79">
        <f t="shared" ca="1" si="34"/>
        <v>397014.31</v>
      </c>
      <c r="O41" s="78">
        <f t="shared" ref="O41:O43" ca="1" si="35">IF(L41&gt;0,N41*100/L41,0)</f>
        <v>54.677635311940506</v>
      </c>
      <c r="P41" s="78">
        <f t="shared" ref="P41:P43" ca="1" si="36">IF(M41&gt;0,N41*100/M41,0)</f>
        <v>72.913555555555561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726100</v>
      </c>
      <c r="M43" s="79">
        <f t="shared" ca="1" si="38"/>
        <v>544500</v>
      </c>
      <c r="N43" s="79">
        <f t="shared" ca="1" si="38"/>
        <v>397014.31</v>
      </c>
      <c r="O43" s="78">
        <f t="shared" ca="1" si="35"/>
        <v>54.677635311940506</v>
      </c>
      <c r="P43" s="78">
        <f t="shared" ca="1" si="36"/>
        <v>72.913555555555561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726100</v>
      </c>
      <c r="M45" s="91">
        <f ca="1">IFERROR(__xludf.DUMMYFUNCTION("IMPORTRANGE(""https://docs.google.com/spreadsheets/d/1Yj_ptqi66GCucihVvJfMjLAmec39IyEx_6qawtMGysU/edit?usp=sharing"",""สบก!Q83"")"),544500)</f>
        <v>544500</v>
      </c>
      <c r="N45" s="91">
        <f ca="1">IFERROR(__xludf.DUMMYFUNCTION("IMPORTRANGE(""https://docs.google.com/spreadsheets/d/1Yj_ptqi66GCucihVvJfMjLAmec39IyEx_6qawtMGysU/edit?usp=sharing"",""สบก!R83"")"),397014.31)</f>
        <v>397014.31</v>
      </c>
      <c r="O45" s="92">
        <f ca="1">IF(L45&gt;0,N45*100/L45,0)</f>
        <v>54.677635311940506</v>
      </c>
      <c r="P45" s="92">
        <f ca="1">IF(M45&gt;0,N45*100/M45,0)</f>
        <v>72.913555555555561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IFERROR(__xludf.DUMMYFUNCTION("IMPORTRANGE(""https://docs.google.com/spreadsheets/d/1Yj_ptqi66GCucihVvJfMjLAmec39IyEx_6qawtMGysU/edit?usp=sharing"",""สบก!M83"")"),726100)</f>
        <v>726100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IFERROR(__xludf.DUMMYFUNCTION("IMPORTRANGE(""https://docs.google.com/spreadsheets/d/1Yj_ptqi66GCucihVvJfMjLAmec39IyEx_6qawtMGysU/edit?usp=sharing"",""สบก!N83"")"),0)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IFERROR(__xludf.DUMMYFUNCTION("IMPORTRANGE(""https://docs.google.com/spreadsheets/d/1Yj_ptqi66GCucihVvJfMjLAmec39IyEx_6qawtMGysU/edit?usp=sharing"",""สบก!O83"")"),0)</f>
        <v>0</v>
      </c>
      <c r="M49" s="101"/>
      <c r="N49" s="91">
        <f ca="1">IFERROR(__xludf.DUMMYFUNCTION("IMPORTRANGE(""https://docs.google.com/spreadsheets/d/1Yj_ptqi66GCucihVvJfMjLAmec39IyEx_6qawtMGysU/edit?usp=sharing"",""สบก!S83"")"),0)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340000</v>
      </c>
      <c r="M53" s="125">
        <f t="shared" ca="1" si="39"/>
        <v>269506</v>
      </c>
      <c r="N53" s="125">
        <f t="shared" ca="1" si="39"/>
        <v>183260.67</v>
      </c>
      <c r="O53" s="124">
        <f t="shared" ref="O53:O55" ca="1" si="40">IF(L53&gt;0,N53*100/L53,0)</f>
        <v>53.90019705882353</v>
      </c>
      <c r="P53" s="124">
        <f t="shared" ref="P53:P55" ca="1" si="41">IF(M53&gt;0,N53*100/M53,0)</f>
        <v>67.998734722047004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340000</v>
      </c>
      <c r="M55" s="125">
        <f t="shared" ca="1" si="43"/>
        <v>269506</v>
      </c>
      <c r="N55" s="125">
        <f t="shared" ca="1" si="43"/>
        <v>183260.67</v>
      </c>
      <c r="O55" s="124">
        <f t="shared" ca="1" si="40"/>
        <v>53.90019705882353</v>
      </c>
      <c r="P55" s="124">
        <f t="shared" ca="1" si="41"/>
        <v>67.998734722047004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340000</v>
      </c>
      <c r="M57" s="91">
        <f ca="1">IFERROR(__xludf.DUMMYFUNCTION("IMPORTRANGE(""https://docs.google.com/spreadsheets/d/1Yj_ptqi66GCucihVvJfMjLAmec39IyEx_6qawtMGysU/edit?usp=sharing"",""สบก!Z83"")"),269506)</f>
        <v>269506</v>
      </c>
      <c r="N57" s="91">
        <f ca="1">IFERROR(__xludf.DUMMYFUNCTION("IMPORTRANGE(""https://docs.google.com/spreadsheets/d/1Yj_ptqi66GCucihVvJfMjLAmec39IyEx_6qawtMGysU/edit?usp=sharing"",""สบก!AA83"")"),183260.67)</f>
        <v>183260.67</v>
      </c>
      <c r="O57" s="92">
        <f ca="1">IF(L57&gt;0,N57*100/L57,0)</f>
        <v>53.90019705882353</v>
      </c>
      <c r="P57" s="92">
        <f ca="1">IF(M57&gt;0,N57*100/M57,0)</f>
        <v>67.998734722047004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IFERROR(__xludf.DUMMYFUNCTION("IMPORTRANGE(""https://docs.google.com/spreadsheets/d/1Yj_ptqi66GCucihVvJfMjLAmec39IyEx_6qawtMGysU/edit?usp=sharing"",""สบก!V83"")"),340000)</f>
        <v>340000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IFERROR(__xludf.DUMMYFUNCTION("IMPORTRANGE(""https://docs.google.com/spreadsheets/d/1Yj_ptqi66GCucihVvJfMjLAmec39IyEx_6qawtMGysU/edit?usp=sharing"",""สบก!W83"")"),0)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IFERROR(__xludf.DUMMYFUNCTION("IMPORTRANGE(""https://docs.google.com/spreadsheets/d/1Yj_ptqi66GCucihVvJfMjLAmec39IyEx_6qawtMGysU/edit?usp=sharing"",""สบก!X83"")"),0)</f>
        <v>0</v>
      </c>
      <c r="M61" s="101"/>
      <c r="N61" s="91">
        <f ca="1">IFERROR(__xludf.DUMMYFUNCTION("IMPORTRANGE(""https://docs.google.com/spreadsheets/d/1Yj_ptqi66GCucihVvJfMjLAmec39IyEx_6qawtMGysU/edit?usp=sharing"",""สบก!AB83"")"),0)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IFERROR(__xludf.DUMMYFUNCTION("IMPORTRANGE(""https://docs.google.com/spreadsheets/d/1IYY_tgx_IHuhSq3AJ5eI5OnqOPBNLWSHKh2a30DoXe8/edit?usp=sharing"",""ตรัง!I9"")"),0)</f>
        <v>0</v>
      </c>
      <c r="J64" s="146">
        <f ca="1">IFERROR(__xludf.DUMMYFUNCTION("IMPORTRANGE(""https://docs.google.com/spreadsheets/d/1IYY_tgx_IHuhSq3AJ5eI5OnqOPBNLWSHKh2a30DoXe8/edit?usp=sharing"",""ตรัง!J9"")"),0)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IFERROR(__xludf.DUMMYFUNCTION("IMPORTRANGE(""https://docs.google.com/spreadsheets/d/1IYY_tgx_IHuhSq3AJ5eI5OnqOPBNLWSHKh2a30DoXe8/edit?usp=sharing"",""ตรัง!I10"")"),0)</f>
        <v>0</v>
      </c>
      <c r="J65" s="146">
        <f ca="1">IFERROR(__xludf.DUMMYFUNCTION("IMPORTRANGE(""https://docs.google.com/spreadsheets/d/1IYY_tgx_IHuhSq3AJ5eI5OnqOPBNLWSHKh2a30DoXe8/edit?usp=sharing"",""ตรัง!J10"")"),0)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IFERROR(__xludf.DUMMYFUNCTION("IMPORTRANGE(""https://docs.google.com/spreadsheets/d/1Yj_ptqi66GCucihVvJfMjLAmec39IyEx_6qawtMGysU/edit?usp=sharing"",""สบก!AI83"")"),0)</f>
        <v>0</v>
      </c>
      <c r="N70" s="174">
        <f ca="1">IFERROR(__xludf.DUMMYFUNCTION("IMPORTRANGE(""https://docs.google.com/spreadsheets/d/1Yj_ptqi66GCucihVvJfMjLAmec39IyEx_6qawtMGysU/edit?usp=sharing"",""สบก!AJ83"")"),0)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IFERROR(__xludf.DUMMYFUNCTION("IMPORTRANGE(""https://docs.google.com/spreadsheets/d/1Yj_ptqi66GCucihVvJfMjLAmec39IyEx_6qawtMGysU/edit?usp=sharing"",""สบก!AE83"")"),0)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IFERROR(__xludf.DUMMYFUNCTION("IMPORTRANGE(""https://docs.google.com/spreadsheets/d/1Yj_ptqi66GCucihVvJfMjLAmec39IyEx_6qawtMGysU/edit?usp=sharing"",""สบก!AF83"")"),0)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IFERROR(__xludf.DUMMYFUNCTION("IMPORTRANGE(""https://docs.google.com/spreadsheets/d/1Yj_ptqi66GCucihVvJfMjLAmec39IyEx_6qawtMGysU/edit?usp=sharing"",""สบก!AG83"")"),0)</f>
        <v>0</v>
      </c>
      <c r="M74" s="101"/>
      <c r="N74" s="91">
        <f ca="1">IFERROR(__xludf.DUMMYFUNCTION("IMPORTRANGE(""https://docs.google.com/spreadsheets/d/1Yj_ptqi66GCucihVvJfMjLAmec39IyEx_6qawtMGysU/edit?usp=sharing"",""สบก!AK83"")"),0)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IFERROR(__xludf.DUMMYFUNCTION("IMPORTRANGE(""https://docs.google.com/spreadsheets/d/1IYY_tgx_IHuhSq3AJ5eI5OnqOPBNLWSHKh2a30DoXe8/edit?usp=sharing"",""ตรัง!J16"")"),0)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IFERROR(__xludf.DUMMYFUNCTION("IMPORTRANGE(""https://docs.google.com/spreadsheets/d/1IYY_tgx_IHuhSq3AJ5eI5OnqOPBNLWSHKh2a30DoXe8/edit?usp=sharing"",""ตรัง!J17"")"),0)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IFERROR(__xludf.DUMMYFUNCTION("IMPORTRANGE(""https://docs.google.com/spreadsheets/d/1IYY_tgx_IHuhSq3AJ5eI5OnqOPBNLWSHKh2a30DoXe8/edit?usp=sharing"",""ตรัง!J18"")"),0)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IFERROR(__xludf.DUMMYFUNCTION("IMPORTRANGE(""https://docs.google.com/spreadsheets/d/1IYY_tgx_IHuhSq3AJ5eI5OnqOPBNLWSHKh2a30DoXe8/edit?usp=sharing"",""ตรัง!J19"")"),0)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IFERROR(__xludf.DUMMYFUNCTION("IMPORTRANGE(""https://docs.google.com/spreadsheets/d/1IYY_tgx_IHuhSq3AJ5eI5OnqOPBNLWSHKh2a30DoXe8/edit?usp=sharing"",""ตรัง!I20"")"),0)</f>
        <v>0</v>
      </c>
      <c r="J80" s="207">
        <f ca="1">IFERROR(__xludf.DUMMYFUNCTION("IMPORTRANGE(""https://docs.google.com/spreadsheets/d/1IYY_tgx_IHuhSq3AJ5eI5OnqOPBNLWSHKh2a30DoXe8/edit?usp=sharing"",""ตรัง!J20"")"),0)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IFERROR(__xludf.DUMMYFUNCTION("IMPORTRANGE(""https://docs.google.com/spreadsheets/d/1IYY_tgx_IHuhSq3AJ5eI5OnqOPBNLWSHKh2a30DoXe8/edit?usp=sharing"",""ตรัง!I21"")"),0)</f>
        <v>0</v>
      </c>
      <c r="J81" s="207">
        <f ca="1">IFERROR(__xludf.DUMMYFUNCTION("IMPORTRANGE(""https://docs.google.com/spreadsheets/d/1IYY_tgx_IHuhSq3AJ5eI5OnqOPBNLWSHKh2a30DoXe8/edit?usp=sharing"",""ตรัง!J21"")"),0)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IFERROR(__xludf.DUMMYFUNCTION("IMPORTRANGE(""https://docs.google.com/spreadsheets/d/1IYY_tgx_IHuhSq3AJ5eI5OnqOPBNLWSHKh2a30DoXe8/edit?usp=sharing"",""ตรัง!I22"")"),0)</f>
        <v>0</v>
      </c>
      <c r="J82" s="210">
        <f ca="1">IFERROR(__xludf.DUMMYFUNCTION("IMPORTRANGE(""https://docs.google.com/spreadsheets/d/1IYY_tgx_IHuhSq3AJ5eI5OnqOPBNLWSHKh2a30DoXe8/edit?usp=sharing"",""ตรัง!J22"")"),0)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IFERROR(__xludf.DUMMYFUNCTION("IMPORTRANGE(""https://docs.google.com/spreadsheets/d/1IYY_tgx_IHuhSq3AJ5eI5OnqOPBNLWSHKh2a30DoXe8/edit?usp=sharing"",""ตรัง!I23"")"),0)</f>
        <v>0</v>
      </c>
      <c r="J83" s="210">
        <f ca="1">IFERROR(__xludf.DUMMYFUNCTION("IMPORTRANGE(""https://docs.google.com/spreadsheets/d/1IYY_tgx_IHuhSq3AJ5eI5OnqOPBNLWSHKh2a30DoXe8/edit?usp=sharing"",""ตรัง!J23"")"),0)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IFERROR(__xludf.DUMMYFUNCTION("IMPORTRANGE(""https://docs.google.com/spreadsheets/d/1IYY_tgx_IHuhSq3AJ5eI5OnqOPBNLWSHKh2a30DoXe8/edit?usp=sharing"",""ตรัง!I24"")"),0)</f>
        <v>0</v>
      </c>
      <c r="J84" s="195">
        <f ca="1">IFERROR(__xludf.DUMMYFUNCTION("IMPORTRANGE(""https://docs.google.com/spreadsheets/d/1IYY_tgx_IHuhSq3AJ5eI5OnqOPBNLWSHKh2a30DoXe8/edit?usp=sharing"",""ตรัง!J24"")"),0)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IFERROR(__xludf.DUMMYFUNCTION("IMPORTRANGE(""https://docs.google.com/spreadsheets/d/1IYY_tgx_IHuhSq3AJ5eI5OnqOPBNLWSHKh2a30DoXe8/edit?usp=sharing"",""ตรัง!I25"")"),0)</f>
        <v>0</v>
      </c>
      <c r="J85" s="195">
        <f ca="1">IFERROR(__xludf.DUMMYFUNCTION("IMPORTRANGE(""https://docs.google.com/spreadsheets/d/1IYY_tgx_IHuhSq3AJ5eI5OnqOPBNLWSHKh2a30DoXe8/edit?usp=sharing"",""ตรัง!J25"")"),0)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IFERROR(__xludf.DUMMYFUNCTION("IMPORTRANGE(""https://docs.google.com/spreadsheets/d/1IYY_tgx_IHuhSq3AJ5eI5OnqOPBNLWSHKh2a30DoXe8/edit?usp=sharing"",""ตรัง!I26"")"),0)</f>
        <v>0</v>
      </c>
      <c r="J86" s="210">
        <f ca="1">IFERROR(__xludf.DUMMYFUNCTION("IMPORTRANGE(""https://docs.google.com/spreadsheets/d/1IYY_tgx_IHuhSq3AJ5eI5OnqOPBNLWSHKh2a30DoXe8/edit?usp=sharing"",""ตรัง!J26"")"),0)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IFERROR(__xludf.DUMMYFUNCTION("IMPORTRANGE(""https://docs.google.com/spreadsheets/d/1IYY_tgx_IHuhSq3AJ5eI5OnqOPBNLWSHKh2a30DoXe8/edit?usp=sharing"",""ตรัง!I27"")"),0)</f>
        <v>0</v>
      </c>
      <c r="J87" s="210">
        <f ca="1">IFERROR(__xludf.DUMMYFUNCTION("IMPORTRANGE(""https://docs.google.com/spreadsheets/d/1IYY_tgx_IHuhSq3AJ5eI5OnqOPBNLWSHKh2a30DoXe8/edit?usp=sharing"",""ตรัง!J27"")"),0)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IFERROR(__xludf.DUMMYFUNCTION("IMPORTRANGE(""https://docs.google.com/spreadsheets/d/1IYY_tgx_IHuhSq3AJ5eI5OnqOPBNLWSHKh2a30DoXe8/edit?usp=sharing"",""ตรัง!I28"")"),0)</f>
        <v>0</v>
      </c>
      <c r="J88" s="210">
        <f ca="1">IFERROR(__xludf.DUMMYFUNCTION("IMPORTRANGE(""https://docs.google.com/spreadsheets/d/1IYY_tgx_IHuhSq3AJ5eI5OnqOPBNLWSHKh2a30DoXe8/edit?usp=sharing"",""ตรัง!J28"")"),0)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IFERROR(__xludf.DUMMYFUNCTION("IMPORTRANGE(""https://docs.google.com/spreadsheets/d/1IYY_tgx_IHuhSq3AJ5eI5OnqOPBNLWSHKh2a30DoXe8/edit?usp=sharing"",""ตรัง!J29"")"),0)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IFERROR(__xludf.DUMMYFUNCTION("IMPORTRANGE(""https://docs.google.com/spreadsheets/d/1IYY_tgx_IHuhSq3AJ5eI5OnqOPBNLWSHKh2a30DoXe8/edit?usp=sharing"",""ตรัง!J30"")"),0)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IFERROR(__xludf.DUMMYFUNCTION("IMPORTRANGE(""https://docs.google.com/spreadsheets/d/1IYY_tgx_IHuhSq3AJ5eI5OnqOPBNLWSHKh2a30DoXe8/edit?usp=sharing"",""ตรัง!I32"")"),4)</f>
        <v>4</v>
      </c>
      <c r="J92" s="146">
        <f ca="1">IFERROR(__xludf.DUMMYFUNCTION("IMPORTRANGE(""https://docs.google.com/spreadsheets/d/1IYY_tgx_IHuhSq3AJ5eI5OnqOPBNLWSHKh2a30DoXe8/edit?usp=sharing"",""ตรัง!J32"")"),4)</f>
        <v>4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IFERROR(__xludf.DUMMYFUNCTION("IMPORTRANGE(""https://docs.google.com/spreadsheets/d/1IYY_tgx_IHuhSq3AJ5eI5OnqOPBNLWSHKh2a30DoXe8/edit?usp=sharing"",""ตรัง!I33"")"),1)</f>
        <v>1</v>
      </c>
      <c r="J93" s="146">
        <f ca="1">IFERROR(__xludf.DUMMYFUNCTION("IMPORTRANGE(""https://docs.google.com/spreadsheets/d/1IYY_tgx_IHuhSq3AJ5eI5OnqOPBNLWSHKh2a30DoXe8/edit?usp=sharing"",""ตรัง!J33"")"),1)</f>
        <v>1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214500</v>
      </c>
      <c r="M94" s="156">
        <f t="shared" ca="1" si="52"/>
        <v>214500</v>
      </c>
      <c r="N94" s="156">
        <f t="shared" ca="1" si="52"/>
        <v>117109.16</v>
      </c>
      <c r="O94" s="155">
        <f t="shared" ref="O94:O96" ca="1" si="53">IF(L94&gt;0,N94*100/L94,0)</f>
        <v>54.596344988344988</v>
      </c>
      <c r="P94" s="155">
        <f t="shared" ref="P94:P96" ca="1" si="54">IF(M94&gt;0,N94*100/M94,0)</f>
        <v>54.596344988344988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214500</v>
      </c>
      <c r="M96" s="161">
        <f t="shared" ca="1" si="56"/>
        <v>214500</v>
      </c>
      <c r="N96" s="161">
        <f t="shared" ca="1" si="56"/>
        <v>117109.16</v>
      </c>
      <c r="O96" s="160">
        <f t="shared" ca="1" si="53"/>
        <v>54.596344988344988</v>
      </c>
      <c r="P96" s="160">
        <f t="shared" ca="1" si="54"/>
        <v>54.596344988344988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IFERROR(__xludf.DUMMYFUNCTION("IMPORTRANGE(""https://docs.google.com/spreadsheets/d/1Yj_ptqi66GCucihVvJfMjLAmec39IyEx_6qawtMGysU/edit?usp=sharing"",""สบก!AR83"")"),122100)</f>
        <v>122100</v>
      </c>
      <c r="N98" s="174">
        <f ca="1">IFERROR(__xludf.DUMMYFUNCTION("IMPORTRANGE(""https://docs.google.com/spreadsheets/d/1Yj_ptqi66GCucihVvJfMjLAmec39IyEx_6qawtMGysU/edit?usp=sharing"",""สบก!AS83"")"),24709.16)</f>
        <v>24709.16</v>
      </c>
      <c r="O98" s="175">
        <f ca="1">IF(L98&gt;0,N98*100/L98,0)</f>
        <v>20.236822276822277</v>
      </c>
      <c r="P98" s="175">
        <f ca="1">IF(M98&gt;0,N98*100/M98,0)</f>
        <v>20.236822276822277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IFERROR(__xludf.DUMMYFUNCTION("IMPORTRANGE(""https://docs.google.com/spreadsheets/d/1Yj_ptqi66GCucihVvJfMjLAmec39IyEx_6qawtMGysU/edit?usp=sharing"",""สบก!AN83"")"),0)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IFERROR(__xludf.DUMMYFUNCTION("IMPORTRANGE(""https://docs.google.com/spreadsheets/d/1Yj_ptqi66GCucihVvJfMjLAmec39IyEx_6qawtMGysU/edit?usp=sharing"",""สบก!AO83"")"),122100)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IFERROR(__xludf.DUMMYFUNCTION("IMPORTRANGE(""https://docs.google.com/spreadsheets/d/1Yj_ptqi66GCucihVvJfMjLAmec39IyEx_6qawtMGysU/edit?usp=sharing"",""สบก!AP83"")"),92400)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IFERROR(__xludf.DUMMYFUNCTION("IMPORTRANGE(""https://docs.google.com/spreadsheets/d/1Yj_ptqi66GCucihVvJfMjLAmec39IyEx_6qawtMGysU/edit?usp=sharing"",""สบก!AT83"")"),92400)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IFERROR(__xludf.DUMMYFUNCTION("IMPORTRANGE(""https://docs.google.com/spreadsheets/d/1IYY_tgx_IHuhSq3AJ5eI5OnqOPBNLWSHKh2a30DoXe8/edit?usp=sharing"",""ตรัง!J39"")"),0)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IFERROR(__xludf.DUMMYFUNCTION("IMPORTRANGE(""https://docs.google.com/spreadsheets/d/1IYY_tgx_IHuhSq3AJ5eI5OnqOPBNLWSHKh2a30DoXe8/edit?usp=sharing"",""ตรัง!J40"")"),1)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IFERROR(__xludf.DUMMYFUNCTION("IMPORTRANGE(""https://docs.google.com/spreadsheets/d/1IYY_tgx_IHuhSq3AJ5eI5OnqOPBNLWSHKh2a30DoXe8/edit?usp=sharing"",""ตรัง!J41"")"),1)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IFERROR(__xludf.DUMMYFUNCTION("IMPORTRANGE(""https://docs.google.com/spreadsheets/d/1IYY_tgx_IHuhSq3AJ5eI5OnqOPBNLWSHKh2a30DoXe8/edit?usp=sharing"",""ตรัง!J42"")"),1)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IFERROR(__xludf.DUMMYFUNCTION("IMPORTRANGE(""https://docs.google.com/spreadsheets/d/1IYY_tgx_IHuhSq3AJ5eI5OnqOPBNLWSHKh2a30DoXe8/edit?usp=sharing"",""ตรัง!I43"")"),1)</f>
        <v>1</v>
      </c>
      <c r="J108" s="210">
        <f ca="1">IFERROR(__xludf.DUMMYFUNCTION("IMPORTRANGE(""https://docs.google.com/spreadsheets/d/1IYY_tgx_IHuhSq3AJ5eI5OnqOPBNLWSHKh2a30DoXe8/edit?usp=sharing"",""ตรัง!J43"")"),1)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IFERROR(__xludf.DUMMYFUNCTION("IMPORTRANGE(""https://docs.google.com/spreadsheets/d/1IYY_tgx_IHuhSq3AJ5eI5OnqOPBNLWSHKh2a30DoXe8/edit?usp=sharing"",""ตรัง!I44"")"),4)</f>
        <v>4</v>
      </c>
      <c r="J109" s="210">
        <f ca="1">IFERROR(__xludf.DUMMYFUNCTION("IMPORTRANGE(""https://docs.google.com/spreadsheets/d/1IYY_tgx_IHuhSq3AJ5eI5OnqOPBNLWSHKh2a30DoXe8/edit?usp=sharing"",""ตรัง!J44"")"),4)</f>
        <v>4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IFERROR(__xludf.DUMMYFUNCTION("IMPORTRANGE(""https://docs.google.com/spreadsheets/d/1IYY_tgx_IHuhSq3AJ5eI5OnqOPBNLWSHKh2a30DoXe8/edit?usp=sharing"",""ตรัง!I45"")"),4)</f>
        <v>4</v>
      </c>
      <c r="J110" s="210">
        <f ca="1">IFERROR(__xludf.DUMMYFUNCTION("IMPORTRANGE(""https://docs.google.com/spreadsheets/d/1IYY_tgx_IHuhSq3AJ5eI5OnqOPBNLWSHKh2a30DoXe8/edit?usp=sharing"",""ตรัง!J45"")"),4)</f>
        <v>4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IFERROR(__xludf.DUMMYFUNCTION("IMPORTRANGE(""https://docs.google.com/spreadsheets/d/1IYY_tgx_IHuhSq3AJ5eI5OnqOPBNLWSHKh2a30DoXe8/edit?usp=sharing"",""ตรัง!I46"")"),4)</f>
        <v>4</v>
      </c>
      <c r="J111" s="210">
        <f ca="1">IFERROR(__xludf.DUMMYFUNCTION("IMPORTRANGE(""https://docs.google.com/spreadsheets/d/1IYY_tgx_IHuhSq3AJ5eI5OnqOPBNLWSHKh2a30DoXe8/edit?usp=sharing"",""ตรัง!J46"")"),4)</f>
        <v>4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IFERROR(__xludf.DUMMYFUNCTION("IMPORTRANGE(""https://docs.google.com/spreadsheets/d/1IYY_tgx_IHuhSq3AJ5eI5OnqOPBNLWSHKh2a30DoXe8/edit?usp=sharing"",""ตรัง!I47"")"),4)</f>
        <v>4</v>
      </c>
      <c r="J112" s="210">
        <f ca="1">IFERROR(__xludf.DUMMYFUNCTION("IMPORTRANGE(""https://docs.google.com/spreadsheets/d/1IYY_tgx_IHuhSq3AJ5eI5OnqOPBNLWSHKh2a30DoXe8/edit?usp=sharing"",""ตรัง!J47"")"),4)</f>
        <v>4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IFERROR(__xludf.DUMMYFUNCTION("IMPORTRANGE(""https://docs.google.com/spreadsheets/d/1IYY_tgx_IHuhSq3AJ5eI5OnqOPBNLWSHKh2a30DoXe8/edit?usp=sharing"",""ตรัง!I48"")"),1)</f>
        <v>1</v>
      </c>
      <c r="J113" s="210">
        <f ca="1">IFERROR(__xludf.DUMMYFUNCTION("IMPORTRANGE(""https://docs.google.com/spreadsheets/d/1IYY_tgx_IHuhSq3AJ5eI5OnqOPBNLWSHKh2a30DoXe8/edit?usp=sharing"",""ตรัง!J48"")"),1)</f>
        <v>1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IFERROR(__xludf.DUMMYFUNCTION("IMPORTRANGE(""https://docs.google.com/spreadsheets/d/1IYY_tgx_IHuhSq3AJ5eI5OnqOPBNLWSHKh2a30DoXe8/edit?usp=sharing"",""ตรัง!J49"")"),0)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IFERROR(__xludf.DUMMYFUNCTION("IMPORTRANGE(""https://docs.google.com/spreadsheets/d/1IYY_tgx_IHuhSq3AJ5eI5OnqOPBNLWSHKh2a30DoXe8/edit?usp=sharing"",""ตรัง!J50"")"),0)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IFERROR(__xludf.DUMMYFUNCTION("IMPORTRANGE(""https://docs.google.com/spreadsheets/d/1IYY_tgx_IHuhSq3AJ5eI5OnqOPBNLWSHKh2a30DoXe8/edit?usp=sharing"",""ตรัง!I52"")"),0)</f>
        <v>0</v>
      </c>
      <c r="J117" s="146">
        <f ca="1">IFERROR(__xludf.DUMMYFUNCTION("IMPORTRANGE(""https://docs.google.com/spreadsheets/d/1IYY_tgx_IHuhSq3AJ5eI5OnqOPBNLWSHKh2a30DoXe8/edit?usp=sharing"",""ตรัง!J52"")"),0)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IFERROR(__xludf.DUMMYFUNCTION("IMPORTRANGE(""https://docs.google.com/spreadsheets/d/1Yj_ptqi66GCucihVvJfMjLAmec39IyEx_6qawtMGysU/edit?usp=sharing"",""สบก!BA83"")"),0)</f>
        <v>0</v>
      </c>
      <c r="N122" s="174">
        <f ca="1">IFERROR(__xludf.DUMMYFUNCTION("IMPORTRANGE(""https://docs.google.com/spreadsheets/d/1Yj_ptqi66GCucihVvJfMjLAmec39IyEx_6qawtMGysU/edit?usp=sharing"",""สบก!BB83"")"),0)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IFERROR(__xludf.DUMMYFUNCTION("IMPORTRANGE(""https://docs.google.com/spreadsheets/d/1Yj_ptqi66GCucihVvJfMjLAmec39IyEx_6qawtMGysU/edit?usp=sharing"",""สบก!AW83"")"),0)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IFERROR(__xludf.DUMMYFUNCTION("IMPORTRANGE(""https://docs.google.com/spreadsheets/d/1Yj_ptqi66GCucihVvJfMjLAmec39IyEx_6qawtMGysU/edit?usp=sharing"",""สบก!AX83"")"),0)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IFERROR(__xludf.DUMMYFUNCTION("IMPORTRANGE(""https://docs.google.com/spreadsheets/d/1Yj_ptqi66GCucihVvJfMjLAmec39IyEx_6qawtMGysU/edit?usp=sharing"",""สบก!AY83"")"),0)</f>
        <v>0</v>
      </c>
      <c r="M126" s="101"/>
      <c r="N126" s="91">
        <f ca="1">IFERROR(__xludf.DUMMYFUNCTION("IMPORTRANGE(""https://docs.google.com/spreadsheets/d/1Yj_ptqi66GCucihVvJfMjLAmec39IyEx_6qawtMGysU/edit?usp=sharing"",""สบก!BC83"")"),0)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243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IFERROR(__xludf.DUMMYFUNCTION("IMPORTRANGE(""https://docs.google.com/spreadsheets/d/1IYY_tgx_IHuhSq3AJ5eI5OnqOPBNLWSHKh2a30DoXe8/edit?usp=sharing"",""ตรัง!J58"")"),0)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IFERROR(__xludf.DUMMYFUNCTION("IMPORTRANGE(""https://docs.google.com/spreadsheets/d/1IYY_tgx_IHuhSq3AJ5eI5OnqOPBNLWSHKh2a30DoXe8/edit?usp=sharing"",""ตรัง!J59"")"),0)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IFERROR(__xludf.DUMMYFUNCTION("IMPORTRANGE(""https://docs.google.com/spreadsheets/d/1IYY_tgx_IHuhSq3AJ5eI5OnqOPBNLWSHKh2a30DoXe8/edit?usp=sharing"",""ตรัง!J60"")"),0)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IFERROR(__xludf.DUMMYFUNCTION("IMPORTRANGE(""https://docs.google.com/spreadsheets/d/1IYY_tgx_IHuhSq3AJ5eI5OnqOPBNLWSHKh2a30DoXe8/edit?usp=sharing"",""ตรัง!J61"")"),0)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IFERROR(__xludf.DUMMYFUNCTION("IMPORTRANGE(""https://docs.google.com/spreadsheets/d/1IYY_tgx_IHuhSq3AJ5eI5OnqOPBNLWSHKh2a30DoXe8/edit?usp=sharing"",""ตรัง!I62"")"),0)</f>
        <v>0</v>
      </c>
      <c r="J132" s="210">
        <f ca="1">IFERROR(__xludf.DUMMYFUNCTION("IMPORTRANGE(""https://docs.google.com/spreadsheets/d/1IYY_tgx_IHuhSq3AJ5eI5OnqOPBNLWSHKh2a30DoXe8/edit?usp=sharing"",""ตรัง!J62"")"),0)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IFERROR(__xludf.DUMMYFUNCTION("IMPORTRANGE(""https://docs.google.com/spreadsheets/d/1IYY_tgx_IHuhSq3AJ5eI5OnqOPBNLWSHKh2a30DoXe8/edit?usp=sharing"",""ตรัง!I63"")"),0)</f>
        <v>0</v>
      </c>
      <c r="J133" s="210">
        <f ca="1">IFERROR(__xludf.DUMMYFUNCTION("IMPORTRANGE(""https://docs.google.com/spreadsheets/d/1IYY_tgx_IHuhSq3AJ5eI5OnqOPBNLWSHKh2a30DoXe8/edit?usp=sharing"",""ตรัง!J63"")"),0)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IFERROR(__xludf.DUMMYFUNCTION("IMPORTRANGE(""https://docs.google.com/spreadsheets/d/1IYY_tgx_IHuhSq3AJ5eI5OnqOPBNLWSHKh2a30DoXe8/edit?usp=sharing"",""ตรัง!J64"")"),0)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IFERROR(__xludf.DUMMYFUNCTION("IMPORTRANGE(""https://docs.google.com/spreadsheets/d/1IYY_tgx_IHuhSq3AJ5eI5OnqOPBNLWSHKh2a30DoXe8/edit?usp=sharing"",""ตรัง!J65"")"),0)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IFERROR(__xludf.DUMMYFUNCTION("IMPORTRANGE(""https://docs.google.com/spreadsheets/d/1IYY_tgx_IHuhSq3AJ5eI5OnqOPBNLWSHKh2a30DoXe8/edit?usp=sharing"",""ตรัง!I68"")"),15)</f>
        <v>15</v>
      </c>
      <c r="J138" s="273">
        <f ca="1">IFERROR(__xludf.DUMMYFUNCTION("IMPORTRANGE(""https://docs.google.com/spreadsheets/d/1IYY_tgx_IHuhSq3AJ5eI5OnqOPBNLWSHKh2a30DoXe8/edit?usp=sharing"",""ตรัง!J68"")"),15)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389400</v>
      </c>
      <c r="M140" s="156">
        <f t="shared" ca="1" si="64"/>
        <v>305125</v>
      </c>
      <c r="N140" s="156">
        <f t="shared" ca="1" si="64"/>
        <v>216221.31</v>
      </c>
      <c r="O140" s="155">
        <f t="shared" ref="O140:O142" ca="1" si="65">IF(L140&gt;0,N140*100/L140,0)</f>
        <v>55.526787365177192</v>
      </c>
      <c r="P140" s="155">
        <f t="shared" ref="P140:P142" ca="1" si="66">IF(M140&gt;0,N140*100/M140,0)</f>
        <v>70.86319049569849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389400</v>
      </c>
      <c r="M142" s="161">
        <f t="shared" ca="1" si="68"/>
        <v>305125</v>
      </c>
      <c r="N142" s="161">
        <f t="shared" ca="1" si="68"/>
        <v>216221.31</v>
      </c>
      <c r="O142" s="160">
        <f t="shared" ca="1" si="65"/>
        <v>55.526787365177192</v>
      </c>
      <c r="P142" s="160">
        <f t="shared" ca="1" si="66"/>
        <v>70.86319049569849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389400</v>
      </c>
      <c r="M144" s="173">
        <f ca="1">IFERROR(__xludf.DUMMYFUNCTION("IMPORTRANGE(""https://docs.google.com/spreadsheets/d/1Yj_ptqi66GCucihVvJfMjLAmec39IyEx_6qawtMGysU/edit?usp=sharing"",""สบก!BJ83"")"),305125)</f>
        <v>305125</v>
      </c>
      <c r="N144" s="174">
        <f ca="1">IFERROR(__xludf.DUMMYFUNCTION("IMPORTRANGE(""https://docs.google.com/spreadsheets/d/1Yj_ptqi66GCucihVvJfMjLAmec39IyEx_6qawtMGysU/edit?usp=sharing"",""สบก!BK83"")"),216221.31)</f>
        <v>216221.31</v>
      </c>
      <c r="O144" s="175">
        <f ca="1">IF(L144&gt;0,N144*100/L144,0)</f>
        <v>55.526787365177192</v>
      </c>
      <c r="P144" s="175">
        <f ca="1">IF(M144&gt;0,N144*100/M144,0)</f>
        <v>70.86319049569849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IFERROR(__xludf.DUMMYFUNCTION("IMPORTRANGE(""https://docs.google.com/spreadsheets/d/1Yj_ptqi66GCucihVvJfMjLAmec39IyEx_6qawtMGysU/edit?usp=sharing"",""สบก!BF83"")"),331400)</f>
        <v>331400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IFERROR(__xludf.DUMMYFUNCTION("IMPORTRANGE(""https://docs.google.com/spreadsheets/d/1Yj_ptqi66GCucihVvJfMjLAmec39IyEx_6qawtMGysU/edit?usp=sharing"",""สบก!BG83"")"),58000)</f>
        <v>58000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IFERROR(__xludf.DUMMYFUNCTION("IMPORTRANGE(""https://docs.google.com/spreadsheets/d/1Yj_ptqi66GCucihVvJfMjLAmec39IyEx_6qawtMGysU/edit?usp=sharing"",""สบก!BH83"")"),0)</f>
        <v>0</v>
      </c>
      <c r="M148" s="101"/>
      <c r="N148" s="91">
        <f ca="1">IFERROR(__xludf.DUMMYFUNCTION("IMPORTRANGE(""https://docs.google.com/spreadsheets/d/1Yj_ptqi66GCucihVvJfMjLAmec39IyEx_6qawtMGysU/edit?usp=sharing"",""สบก!BL83"")"),0)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IFERROR(__xludf.DUMMYFUNCTION("IMPORTRANGE(""https://docs.google.com/spreadsheets/d/1IYY_tgx_IHuhSq3AJ5eI5OnqOPBNLWSHKh2a30DoXe8/edit?usp=sharing"",""ตรัง!I74"")"),4)</f>
        <v>4</v>
      </c>
      <c r="J149" s="281">
        <f ca="1">IFERROR(__xludf.DUMMYFUNCTION("IMPORTRANGE(""https://docs.google.com/spreadsheets/d/1IYY_tgx_IHuhSq3AJ5eI5OnqOPBNLWSHKh2a30DoXe8/edit?usp=sharing"",""ตรัง!J74"")"),2)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IFERROR(__xludf.DUMMYFUNCTION("IMPORTRANGE(""https://docs.google.com/spreadsheets/d/1IYY_tgx_IHuhSq3AJ5eI5OnqOPBNLWSHKh2a30DoXe8/edit?usp=sharing"",""ตรัง!J79"")"),0)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IFERROR(__xludf.DUMMYFUNCTION("IMPORTRANGE(""https://docs.google.com/spreadsheets/d/1IYY_tgx_IHuhSq3AJ5eI5OnqOPBNLWSHKh2a30DoXe8/edit?usp=sharing"",""ตรัง!J80"")"),1)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IFERROR(__xludf.DUMMYFUNCTION("IMPORTRANGE(""https://docs.google.com/spreadsheets/d/1IYY_tgx_IHuhSq3AJ5eI5OnqOPBNLWSHKh2a30DoXe8/edit?usp=sharing"",""ตรัง!J81"")"),1)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IFERROR(__xludf.DUMMYFUNCTION("IMPORTRANGE(""https://docs.google.com/spreadsheets/d/1IYY_tgx_IHuhSq3AJ5eI5OnqOPBNLWSHKh2a30DoXe8/edit?usp=sharing"",""ตรัง!J82"")"),1)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IFERROR(__xludf.DUMMYFUNCTION("IMPORTRANGE(""https://docs.google.com/spreadsheets/d/1IYY_tgx_IHuhSq3AJ5eI5OnqOPBNLWSHKh2a30DoXe8/edit?usp=sharing"",""ตรัง!I83"")"),4)</f>
        <v>4</v>
      </c>
      <c r="J158" s="195">
        <f ca="1">IFERROR(__xludf.DUMMYFUNCTION("IMPORTRANGE(""https://docs.google.com/spreadsheets/d/1IYY_tgx_IHuhSq3AJ5eI5OnqOPBNLWSHKh2a30DoXe8/edit?usp=sharing"",""ตรัง!J83"")"),2)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IFERROR(__xludf.DUMMYFUNCTION("IMPORTRANGE(""https://docs.google.com/spreadsheets/d/1IYY_tgx_IHuhSq3AJ5eI5OnqOPBNLWSHKh2a30DoXe8/edit?usp=sharing"",""ตรัง!J84"")"),52)</f>
        <v>52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IFERROR(__xludf.DUMMYFUNCTION("IMPORTRANGE(""https://docs.google.com/spreadsheets/d/1IYY_tgx_IHuhSq3AJ5eI5OnqOPBNLWSHKh2a30DoXe8/edit?usp=sharing"",""ตรัง!J85"")"),52)</f>
        <v>52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IFERROR(__xludf.DUMMYFUNCTION("IMPORTRANGE(""https://docs.google.com/spreadsheets/d/1IYY_tgx_IHuhSq3AJ5eI5OnqOPBNLWSHKh2a30DoXe8/edit?usp=sharing"",""ตรัง!J86"")"),0)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IFERROR(__xludf.DUMMYFUNCTION("IMPORTRANGE(""https://docs.google.com/spreadsheets/d/1IYY_tgx_IHuhSq3AJ5eI5OnqOPBNLWSHKh2a30DoXe8/edit?usp=sharing"",""ตรัง!J87"")"),0)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IFERROR(__xludf.DUMMYFUNCTION("IMPORTRANGE(""https://docs.google.com/spreadsheets/d/1IYY_tgx_IHuhSq3AJ5eI5OnqOPBNLWSHKh2a30DoXe8/edit?usp=sharing"",""ตรัง!J88"")"),0)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IFERROR(__xludf.DUMMYFUNCTION("IMPORTRANGE(""https://docs.google.com/spreadsheets/d/1IYY_tgx_IHuhSq3AJ5eI5OnqOPBNLWSHKh2a30DoXe8/edit?usp=sharing"",""ตรัง!I89"")"),2)</f>
        <v>2</v>
      </c>
      <c r="J164" s="290">
        <f ca="1">IFERROR(__xludf.DUMMYFUNCTION("IMPORTRANGE(""https://docs.google.com/spreadsheets/d/1IYY_tgx_IHuhSq3AJ5eI5OnqOPBNLWSHKh2a30DoXe8/edit?usp=sharing"",""ตรัง!J89"")"),2)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IFERROR(__xludf.DUMMYFUNCTION("IMPORTRANGE(""https://docs.google.com/spreadsheets/d/1IYY_tgx_IHuhSq3AJ5eI5OnqOPBNLWSHKh2a30DoXe8/edit?usp=sharing"",""ตรัง!J94"")"),0)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IFERROR(__xludf.DUMMYFUNCTION("IMPORTRANGE(""https://docs.google.com/spreadsheets/d/1IYY_tgx_IHuhSq3AJ5eI5OnqOPBNLWSHKh2a30DoXe8/edit?usp=sharing"",""ตรัง!J95"")"),1)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IFERROR(__xludf.DUMMYFUNCTION("IMPORTRANGE(""https://docs.google.com/spreadsheets/d/1IYY_tgx_IHuhSq3AJ5eI5OnqOPBNLWSHKh2a30DoXe8/edit?usp=sharing"",""ตรัง!J96"")"),1)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IFERROR(__xludf.DUMMYFUNCTION("IMPORTRANGE(""https://docs.google.com/spreadsheets/d/1IYY_tgx_IHuhSq3AJ5eI5OnqOPBNLWSHKh2a30DoXe8/edit?usp=sharing"",""ตรัง!J97"")"),1)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IFERROR(__xludf.DUMMYFUNCTION("IMPORTRANGE(""https://docs.google.com/spreadsheets/d/1IYY_tgx_IHuhSq3AJ5eI5OnqOPBNLWSHKh2a30DoXe8/edit?usp=sharing"",""ตรัง!I98"")"),2)</f>
        <v>2</v>
      </c>
      <c r="J173" s="195">
        <f ca="1">IFERROR(__xludf.DUMMYFUNCTION("IMPORTRANGE(""https://docs.google.com/spreadsheets/d/1IYY_tgx_IHuhSq3AJ5eI5OnqOPBNLWSHKh2a30DoXe8/edit?usp=sharing"",""ตรัง!J98"")"),2)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IFERROR(__xludf.DUMMYFUNCTION("IMPORTRANGE(""https://docs.google.com/spreadsheets/d/1IYY_tgx_IHuhSq3AJ5eI5OnqOPBNLWSHKh2a30DoXe8/edit?usp=sharing"",""ตรัง!J99"")"),0)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IFERROR(__xludf.DUMMYFUNCTION("IMPORTRANGE(""https://docs.google.com/spreadsheets/d/1IYY_tgx_IHuhSq3AJ5eI5OnqOPBNLWSHKh2a30DoXe8/edit?usp=sharing"",""ตรัง!J100"")"),0)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IFERROR(__xludf.DUMMYFUNCTION("IMPORTRANGE(""https://docs.google.com/spreadsheets/d/1IYY_tgx_IHuhSq3AJ5eI5OnqOPBNLWSHKh2a30DoXe8/edit?usp=sharing"",""ตรัง!I101"")"),0)</f>
        <v>0</v>
      </c>
      <c r="J176" s="290">
        <f ca="1">IFERROR(__xludf.DUMMYFUNCTION("IMPORTRANGE(""https://docs.google.com/spreadsheets/d/1IYY_tgx_IHuhSq3AJ5eI5OnqOPBNLWSHKh2a30DoXe8/edit?usp=sharing"",""ตรัง!J101"")"),0)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IFERROR(__xludf.DUMMYFUNCTION("IMPORTRANGE(""https://docs.google.com/spreadsheets/d/1IYY_tgx_IHuhSq3AJ5eI5OnqOPBNLWSHKh2a30DoXe8/edit?usp=sharing"",""ตรัง!J106"")"),0)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IFERROR(__xludf.DUMMYFUNCTION("IMPORTRANGE(""https://docs.google.com/spreadsheets/d/1IYY_tgx_IHuhSq3AJ5eI5OnqOPBNLWSHKh2a30DoXe8/edit?usp=sharing"",""ตรัง!J107"")"),0)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IFERROR(__xludf.DUMMYFUNCTION("IMPORTRANGE(""https://docs.google.com/spreadsheets/d/1IYY_tgx_IHuhSq3AJ5eI5OnqOPBNLWSHKh2a30DoXe8/edit?usp=sharing"",""ตรัง!J108"")"),0)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IFERROR(__xludf.DUMMYFUNCTION("IMPORTRANGE(""https://docs.google.com/spreadsheets/d/1IYY_tgx_IHuhSq3AJ5eI5OnqOPBNLWSHKh2a30DoXe8/edit?usp=sharing"",""ตรัง!J109"")"),0)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IFERROR(__xludf.DUMMYFUNCTION("IMPORTRANGE(""https://docs.google.com/spreadsheets/d/1IYY_tgx_IHuhSq3AJ5eI5OnqOPBNLWSHKh2a30DoXe8/edit?usp=sharing"",""ตรัง!I110"")"),0)</f>
        <v>0</v>
      </c>
      <c r="J185" s="210">
        <f ca="1">IFERROR(__xludf.DUMMYFUNCTION("IMPORTRANGE(""https://docs.google.com/spreadsheets/d/1IYY_tgx_IHuhSq3AJ5eI5OnqOPBNLWSHKh2a30DoXe8/edit?usp=sharing"",""ตรัง!J110"")"),0)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IFERROR(__xludf.DUMMYFUNCTION("IMPORTRANGE(""https://docs.google.com/spreadsheets/d/1IYY_tgx_IHuhSq3AJ5eI5OnqOPBNLWSHKh2a30DoXe8/edit?usp=sharing"",""ตรัง!I111"")"),0)</f>
        <v>0</v>
      </c>
      <c r="J186" s="210">
        <f ca="1">IFERROR(__xludf.DUMMYFUNCTION("IMPORTRANGE(""https://docs.google.com/spreadsheets/d/1IYY_tgx_IHuhSq3AJ5eI5OnqOPBNLWSHKh2a30DoXe8/edit?usp=sharing"",""ตรัง!J111"")"),0)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IFERROR(__xludf.DUMMYFUNCTION("IMPORTRANGE(""https://docs.google.com/spreadsheets/d/1IYY_tgx_IHuhSq3AJ5eI5OnqOPBNLWSHKh2a30DoXe8/edit?usp=sharing"",""ตรัง!J112"")"),0)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IFERROR(__xludf.DUMMYFUNCTION("IMPORTRANGE(""https://docs.google.com/spreadsheets/d/1IYY_tgx_IHuhSq3AJ5eI5OnqOPBNLWSHKh2a30DoXe8/edit?usp=sharing"",""ตรัง!J113"")"),0)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IFERROR(__xludf.DUMMYFUNCTION("IMPORTRANGE(""https://docs.google.com/spreadsheets/d/1IYY_tgx_IHuhSq3AJ5eI5OnqOPBNLWSHKh2a30DoXe8/edit?usp=sharing"",""ตรัง!I114"")"),10000)</f>
        <v>10000</v>
      </c>
      <c r="J189" s="290">
        <f ca="1">IFERROR(__xludf.DUMMYFUNCTION("IMPORTRANGE(""https://docs.google.com/spreadsheets/d/1IYY_tgx_IHuhSq3AJ5eI5OnqOPBNLWSHKh2a30DoXe8/edit?usp=sharing"",""ตรัง!J114"")"),0)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IFERROR(__xludf.DUMMYFUNCTION("IMPORTRANGE(""https://docs.google.com/spreadsheets/d/1IYY_tgx_IHuhSq3AJ5eI5OnqOPBNLWSHKh2a30DoXe8/edit?usp=sharing"",""ตรัง!J119"")"),0)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IFERROR(__xludf.DUMMYFUNCTION("IMPORTRANGE(""https://docs.google.com/spreadsheets/d/1IYY_tgx_IHuhSq3AJ5eI5OnqOPBNLWSHKh2a30DoXe8/edit?usp=sharing"",""ตรัง!J120"")"),1)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IFERROR(__xludf.DUMMYFUNCTION("IMPORTRANGE(""https://docs.google.com/spreadsheets/d/1IYY_tgx_IHuhSq3AJ5eI5OnqOPBNLWSHKh2a30DoXe8/edit?usp=sharing"",""ตรัง!J121"")"),1)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IFERROR(__xludf.DUMMYFUNCTION("IMPORTRANGE(""https://docs.google.com/spreadsheets/d/1IYY_tgx_IHuhSq3AJ5eI5OnqOPBNLWSHKh2a30DoXe8/edit?usp=sharing"",""ตรัง!J122"")"),1)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IFERROR(__xludf.DUMMYFUNCTION("IMPORTRANGE(""https://docs.google.com/spreadsheets/d/1IYY_tgx_IHuhSq3AJ5eI5OnqOPBNLWSHKh2a30DoXe8/edit?usp=sharing"",""ตรัง!I124"")"),10000)</f>
        <v>10000</v>
      </c>
      <c r="J199" s="195">
        <f ca="1">IFERROR(__xludf.DUMMYFUNCTION("IMPORTRANGE(""https://docs.google.com/spreadsheets/d/1IYY_tgx_IHuhSq3AJ5eI5OnqOPBNLWSHKh2a30DoXe8/edit?usp=sharing"",""ตรัง!J124"")"),0)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IFERROR(__xludf.DUMMYFUNCTION("IMPORTRANGE(""https://docs.google.com/spreadsheets/d/1IYY_tgx_IHuhSq3AJ5eI5OnqOPBNLWSHKh2a30DoXe8/edit?usp=sharing"",""ตรัง!I125"")"),10000)</f>
        <v>10000</v>
      </c>
      <c r="J200" s="195">
        <f ca="1">IFERROR(__xludf.DUMMYFUNCTION("IMPORTRANGE(""https://docs.google.com/spreadsheets/d/1IYY_tgx_IHuhSq3AJ5eI5OnqOPBNLWSHKh2a30DoXe8/edit?usp=sharing"",""ตรัง!J125"")"),0)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IFERROR(__xludf.DUMMYFUNCTION("IMPORTRANGE(""https://docs.google.com/spreadsheets/d/1IYY_tgx_IHuhSq3AJ5eI5OnqOPBNLWSHKh2a30DoXe8/edit?usp=sharing"",""ตรัง!I126"")"),15)</f>
        <v>15</v>
      </c>
      <c r="J201" s="195">
        <f ca="1">IFERROR(__xludf.DUMMYFUNCTION("IMPORTRANGE(""https://docs.google.com/spreadsheets/d/1IYY_tgx_IHuhSq3AJ5eI5OnqOPBNLWSHKh2a30DoXe8/edit?usp=sharing"",""ตรัง!J126"")"),15)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IFERROR(__xludf.DUMMYFUNCTION("IMPORTRANGE(""https://docs.google.com/spreadsheets/d/1IYY_tgx_IHuhSq3AJ5eI5OnqOPBNLWSHKh2a30DoXe8/edit?usp=sharing"",""ตรัง!J127"")"),0)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IFERROR(__xludf.DUMMYFUNCTION("IMPORTRANGE(""https://docs.google.com/spreadsheets/d/1IYY_tgx_IHuhSq3AJ5eI5OnqOPBNLWSHKh2a30DoXe8/edit?usp=sharing"",""ตรัง!J128"")"),0)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IFERROR(__xludf.DUMMYFUNCTION("IMPORTRANGE(""https://docs.google.com/spreadsheets/d/1IYY_tgx_IHuhSq3AJ5eI5OnqOPBNLWSHKh2a30DoXe8/edit?usp=sharing"",""ตรัง!I129"")"),0)</f>
        <v>0</v>
      </c>
      <c r="J204" s="290">
        <f ca="1">IFERROR(__xludf.DUMMYFUNCTION("IMPORTRANGE(""https://docs.google.com/spreadsheets/d/1IYY_tgx_IHuhSq3AJ5eI5OnqOPBNLWSHKh2a30DoXe8/edit?usp=sharing"",""ตรัง!J129"")"),0)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IFERROR(__xludf.DUMMYFUNCTION("IMPORTRANGE(""https://docs.google.com/spreadsheets/d/1IYY_tgx_IHuhSq3AJ5eI5OnqOPBNLWSHKh2a30DoXe8/edit?usp=sharing"",""ตรัง!J134"")"),0)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IFERROR(__xludf.DUMMYFUNCTION("IMPORTRANGE(""https://docs.google.com/spreadsheets/d/1IYY_tgx_IHuhSq3AJ5eI5OnqOPBNLWSHKh2a30DoXe8/edit?usp=sharing"",""ตรัง!J135"")"),0)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IFERROR(__xludf.DUMMYFUNCTION("IMPORTRANGE(""https://docs.google.com/spreadsheets/d/1IYY_tgx_IHuhSq3AJ5eI5OnqOPBNLWSHKh2a30DoXe8/edit?usp=sharing"",""ตรัง!J136"")"),0)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IFERROR(__xludf.DUMMYFUNCTION("IMPORTRANGE(""https://docs.google.com/spreadsheets/d/1IYY_tgx_IHuhSq3AJ5eI5OnqOPBNLWSHKh2a30DoXe8/edit?usp=sharing"",""ตรัง!J137"")"),0)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IFERROR(__xludf.DUMMYFUNCTION("IMPORTRANGE(""https://docs.google.com/spreadsheets/d/1IYY_tgx_IHuhSq3AJ5eI5OnqOPBNLWSHKh2a30DoXe8/edit?usp=sharing"",""ตรัง!I138"")"),0)</f>
        <v>0</v>
      </c>
      <c r="J213" s="210">
        <f ca="1">IFERROR(__xludf.DUMMYFUNCTION("IMPORTRANGE(""https://docs.google.com/spreadsheets/d/1IYY_tgx_IHuhSq3AJ5eI5OnqOPBNLWSHKh2a30DoXe8/edit?usp=sharing"",""ตรัง!J138"")"),0)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IFERROR(__xludf.DUMMYFUNCTION("IMPORTRANGE(""https://docs.google.com/spreadsheets/d/1IYY_tgx_IHuhSq3AJ5eI5OnqOPBNLWSHKh2a30DoXe8/edit?usp=sharing"",""ตรัง!I140"")"),0)</f>
        <v>0</v>
      </c>
      <c r="J215" s="210">
        <f ca="1">IFERROR(__xludf.DUMMYFUNCTION("IMPORTRANGE(""https://docs.google.com/spreadsheets/d/1IYY_tgx_IHuhSq3AJ5eI5OnqOPBNLWSHKh2a30DoXe8/edit?usp=sharing"",""ตรัง!J140"")"),0)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IFERROR(__xludf.DUMMYFUNCTION("IMPORTRANGE(""https://docs.google.com/spreadsheets/d/1IYY_tgx_IHuhSq3AJ5eI5OnqOPBNLWSHKh2a30DoXe8/edit?usp=sharing"",""ตรัง!I141"")"),0)</f>
        <v>0</v>
      </c>
      <c r="J216" s="210">
        <f ca="1">IFERROR(__xludf.DUMMYFUNCTION("IMPORTRANGE(""https://docs.google.com/spreadsheets/d/1IYY_tgx_IHuhSq3AJ5eI5OnqOPBNLWSHKh2a30DoXe8/edit?usp=sharing"",""ตรัง!J141"")"),0)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IFERROR(__xludf.DUMMYFUNCTION("IMPORTRANGE(""https://docs.google.com/spreadsheets/d/1IYY_tgx_IHuhSq3AJ5eI5OnqOPBNLWSHKh2a30DoXe8/edit?usp=sharing"",""ตรัง!J142"")"),0)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IFERROR(__xludf.DUMMYFUNCTION("IMPORTRANGE(""https://docs.google.com/spreadsheets/d/1IYY_tgx_IHuhSq3AJ5eI5OnqOPBNLWSHKh2a30DoXe8/edit?usp=sharing"",""ตรัง!J143"")"),0)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IFERROR(__xludf.DUMMYFUNCTION("IMPORTRANGE(""https://docs.google.com/spreadsheets/d/1IYY_tgx_IHuhSq3AJ5eI5OnqOPBNLWSHKh2a30DoXe8/edit?usp=sharing"",""ตรัง!I144"")"),15)</f>
        <v>15</v>
      </c>
      <c r="J219" s="273">
        <f ca="1">IFERROR(__xludf.DUMMYFUNCTION("IMPORTRANGE(""https://docs.google.com/spreadsheets/d/1IYY_tgx_IHuhSq3AJ5eI5OnqOPBNLWSHKh2a30DoXe8/edit?usp=sharing"",""ตรัง!J144"")"),15)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IFERROR(__xludf.DUMMYFUNCTION("IMPORTRANGE(""https://docs.google.com/spreadsheets/d/1Yj_ptqi66GCucihVvJfMjLAmec39IyEx_6qawtMGysU/edit?usp=sharing"",""สบก!BS83"")"),21125)</f>
        <v>21125</v>
      </c>
      <c r="N224" s="174">
        <f ca="1">IFERROR(__xludf.DUMMYFUNCTION("IMPORTRANGE(""https://docs.google.com/spreadsheets/d/1Yj_ptqi66GCucihVvJfMjLAmec39IyEx_6qawtMGysU/edit?usp=sharing"",""สบก!BT83"")"),21125)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IFERROR(__xludf.DUMMYFUNCTION("IMPORTRANGE(""https://docs.google.com/spreadsheets/d/1Yj_ptqi66GCucihVvJfMjLAmec39IyEx_6qawtMGysU/edit?usp=sharing"",""สบก!BO83"")"),0)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IFERROR(__xludf.DUMMYFUNCTION("IMPORTRANGE(""https://docs.google.com/spreadsheets/d/1Yj_ptqi66GCucihVvJfMjLAmec39IyEx_6qawtMGysU/edit?usp=sharing"",""สบก!BP83"")"),21125)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IFERROR(__xludf.DUMMYFUNCTION("IMPORTRANGE(""https://docs.google.com/spreadsheets/d/1Yj_ptqi66GCucihVvJfMjLAmec39IyEx_6qawtMGysU/edit?usp=sharing"",""สบก!BQ83"")"),0)</f>
        <v>0</v>
      </c>
      <c r="M228" s="101"/>
      <c r="N228" s="91">
        <f ca="1">IFERROR(__xludf.DUMMYFUNCTION("IMPORTRANGE(""https://docs.google.com/spreadsheets/d/1Yj_ptqi66GCucihVvJfMjLAmec39IyEx_6qawtMGysU/edit?usp=sharing"",""สบก!BU83"")"),0)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IFERROR(__xludf.DUMMYFUNCTION("IMPORTRANGE(""https://docs.google.com/spreadsheets/d/1IYY_tgx_IHuhSq3AJ5eI5OnqOPBNLWSHKh2a30DoXe8/edit?usp=sharing"",""ตรัง!I149"")"),15)</f>
        <v>15</v>
      </c>
      <c r="J229" s="273">
        <f ca="1">IFERROR(__xludf.DUMMYFUNCTION("IMPORTRANGE(""https://docs.google.com/spreadsheets/d/1IYY_tgx_IHuhSq3AJ5eI5OnqOPBNLWSHKh2a30DoXe8/edit?usp=sharing"",""ตรัง!J149"")"),15)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IFERROR(__xludf.DUMMYFUNCTION("IMPORTRANGE(""https://docs.google.com/spreadsheets/d/1IYY_tgx_IHuhSq3AJ5eI5OnqOPBNLWSHKh2a30DoXe8/edit?usp=sharing"",""ตรัง!J151"")"),0)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IFERROR(__xludf.DUMMYFUNCTION("IMPORTRANGE(""https://docs.google.com/spreadsheets/d/1IYY_tgx_IHuhSq3AJ5eI5OnqOPBNLWSHKh2a30DoXe8/edit?usp=sharing"",""ตรัง!J152"")"),1)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IFERROR(__xludf.DUMMYFUNCTION("IMPORTRANGE(""https://docs.google.com/spreadsheets/d/1IYY_tgx_IHuhSq3AJ5eI5OnqOPBNLWSHKh2a30DoXe8/edit?usp=sharing"",""ตรัง!J153"")"),1)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IFERROR(__xludf.DUMMYFUNCTION("IMPORTRANGE(""https://docs.google.com/spreadsheets/d/1IYY_tgx_IHuhSq3AJ5eI5OnqOPBNLWSHKh2a30DoXe8/edit?usp=sharing"",""ตรัง!J154"")"),1)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IFERROR(__xludf.DUMMYFUNCTION("IMPORTRANGE(""https://docs.google.com/spreadsheets/d/1IYY_tgx_IHuhSq3AJ5eI5OnqOPBNLWSHKh2a30DoXe8/edit?usp=sharing"",""ตรัง!I155"")"),15)</f>
        <v>15</v>
      </c>
      <c r="J235" s="195">
        <f ca="1">IFERROR(__xludf.DUMMYFUNCTION("IMPORTRANGE(""https://docs.google.com/spreadsheets/d/1IYY_tgx_IHuhSq3AJ5eI5OnqOPBNLWSHKh2a30DoXe8/edit?usp=sharing"",""ตรัง!J155"")"),15)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IFERROR(__xludf.DUMMYFUNCTION("IMPORTRANGE(""https://docs.google.com/spreadsheets/d/1IYY_tgx_IHuhSq3AJ5eI5OnqOPBNLWSHKh2a30DoXe8/edit?usp=sharing"",""ตรัง!J156"")"),0)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IFERROR(__xludf.DUMMYFUNCTION("IMPORTRANGE(""https://docs.google.com/spreadsheets/d/1IYY_tgx_IHuhSq3AJ5eI5OnqOPBNLWSHKh2a30DoXe8/edit?usp=sharing"",""ตรัง!J157"")"),0)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IFERROR(__xludf.DUMMYFUNCTION("IMPORTRANGE(""https://docs.google.com/spreadsheets/d/1IYY_tgx_IHuhSq3AJ5eI5OnqOPBNLWSHKh2a30DoXe8/edit?usp=sharing"",""ตรัง!I158"")"),0)</f>
        <v>0</v>
      </c>
      <c r="J238" s="273">
        <f ca="1">IFERROR(__xludf.DUMMYFUNCTION("IMPORTRANGE(""https://docs.google.com/spreadsheets/d/1IYY_tgx_IHuhSq3AJ5eI5OnqOPBNLWSHKh2a30DoXe8/edit?usp=sharing"",""ตรัง!J158"")"),0)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IFERROR(__xludf.DUMMYFUNCTION("IMPORTRANGE(""https://docs.google.com/spreadsheets/d/1IYY_tgx_IHuhSq3AJ5eI5OnqOPBNLWSHKh2a30DoXe8/edit?usp=sharing"",""ตรัง!J159"")"),"")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IFERROR(__xludf.DUMMYFUNCTION("IMPORTRANGE(""https://docs.google.com/spreadsheets/d/1IYY_tgx_IHuhSq3AJ5eI5OnqOPBNLWSHKh2a30DoXe8/edit?usp=sharing"",""ตรัง!J161"")"),0)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IFERROR(__xludf.DUMMYFUNCTION("IMPORTRANGE(""https://docs.google.com/spreadsheets/d/1IYY_tgx_IHuhSq3AJ5eI5OnqOPBNLWSHKh2a30DoXe8/edit?usp=sharing"",""ตรัง!J162"")"),0)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IFERROR(__xludf.DUMMYFUNCTION("IMPORTRANGE(""https://docs.google.com/spreadsheets/d/1IYY_tgx_IHuhSq3AJ5eI5OnqOPBNLWSHKh2a30DoXe8/edit?usp=sharing"",""ตรัง!J163"")"),0)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IFERROR(__xludf.DUMMYFUNCTION("IMPORTRANGE(""https://docs.google.com/spreadsheets/d/1IYY_tgx_IHuhSq3AJ5eI5OnqOPBNLWSHKh2a30DoXe8/edit?usp=sharing"",""ตรัง!I164"")"),0)</f>
        <v>0</v>
      </c>
      <c r="J244" s="194">
        <f ca="1">IFERROR(__xludf.DUMMYFUNCTION("IMPORTRANGE(""https://docs.google.com/spreadsheets/d/1IYY_tgx_IHuhSq3AJ5eI5OnqOPBNLWSHKh2a30DoXe8/edit?usp=sharing"",""ตรัง!J164"")"),0)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IFERROR(__xludf.DUMMYFUNCTION("IMPORTRANGE(""https://docs.google.com/spreadsheets/d/1IYY_tgx_IHuhSq3AJ5eI5OnqOPBNLWSHKh2a30DoXe8/edit?usp=sharing"",""ตรัง!J165"")"),0)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IFERROR(__xludf.DUMMYFUNCTION("IMPORTRANGE(""https://docs.google.com/spreadsheets/d/1IYY_tgx_IHuhSq3AJ5eI5OnqOPBNLWSHKh2a30DoXe8/edit?usp=sharing"",""ตรัง!J166"")"),0)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IFERROR(__xludf.DUMMYFUNCTION("IMPORTRANGE(""https://docs.google.com/spreadsheets/d/1IYY_tgx_IHuhSq3AJ5eI5OnqOPBNLWSHKh2a30DoXe8/edit?usp=sharing"",""ตรัง!I169"")"),20)</f>
        <v>20</v>
      </c>
      <c r="J249" s="322">
        <f ca="1">IFERROR(__xludf.DUMMYFUNCTION("IMPORTRANGE(""https://docs.google.com/spreadsheets/d/1IYY_tgx_IHuhSq3AJ5eI5OnqOPBNLWSHKh2a30DoXe8/edit?usp=sharing"",""ตรัง!J169"")"),20)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71400</v>
      </c>
      <c r="M250" s="156">
        <f t="shared" ca="1" si="77"/>
        <v>42000</v>
      </c>
      <c r="N250" s="156">
        <f t="shared" ca="1" si="77"/>
        <v>33543.199999999997</v>
      </c>
      <c r="O250" s="155">
        <f t="shared" ref="O250:O252" ca="1" si="78">IF(L250&gt;0,N250*100/L250,0)</f>
        <v>46.97927170868347</v>
      </c>
      <c r="P250" s="155">
        <f t="shared" ref="P250:P252" ca="1" si="79">IF(M250&gt;0,N250*100/M250,0)</f>
        <v>79.864761904761892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71400</v>
      </c>
      <c r="M252" s="161">
        <f t="shared" ca="1" si="81"/>
        <v>42000</v>
      </c>
      <c r="N252" s="161">
        <f t="shared" ca="1" si="81"/>
        <v>33543.199999999997</v>
      </c>
      <c r="O252" s="160">
        <f t="shared" ca="1" si="78"/>
        <v>46.97927170868347</v>
      </c>
      <c r="P252" s="160">
        <f t="shared" ca="1" si="79"/>
        <v>79.864761904761892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71400</v>
      </c>
      <c r="M254" s="173">
        <f ca="1">IFERROR(__xludf.DUMMYFUNCTION("IMPORTRANGE(""https://docs.google.com/spreadsheets/d/1Yj_ptqi66GCucihVvJfMjLAmec39IyEx_6qawtMGysU/edit?usp=sharing"",""สบก!CB83"")"),42000)</f>
        <v>42000</v>
      </c>
      <c r="N254" s="174">
        <f ca="1">IFERROR(__xludf.DUMMYFUNCTION("IMPORTRANGE(""https://docs.google.com/spreadsheets/d/1Yj_ptqi66GCucihVvJfMjLAmec39IyEx_6qawtMGysU/edit?usp=sharing"",""สบก!CC83"")"),33543.2)</f>
        <v>33543.199999999997</v>
      </c>
      <c r="O254" s="175">
        <f ca="1">IF(L254&gt;0,N254*100/L254,0)</f>
        <v>46.97927170868347</v>
      </c>
      <c r="P254" s="175">
        <f ca="1">IF(M254&gt;0,N254*100/M254,0)</f>
        <v>79.864761904761892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IFERROR(__xludf.DUMMYFUNCTION("IMPORTRANGE(""https://docs.google.com/spreadsheets/d/1Yj_ptqi66GCucihVvJfMjLAmec39IyEx_6qawtMGysU/edit?usp=sharing"",""สบก!BX83"")"),0)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IFERROR(__xludf.DUMMYFUNCTION("IMPORTRANGE(""https://docs.google.com/spreadsheets/d/1Yj_ptqi66GCucihVvJfMjLAmec39IyEx_6qawtMGysU/edit?usp=sharing"",""สบก!BY83"")"),71400)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IFERROR(__xludf.DUMMYFUNCTION("IMPORTRANGE(""https://docs.google.com/spreadsheets/d/1Yj_ptqi66GCucihVvJfMjLAmec39IyEx_6qawtMGysU/edit?usp=sharing"",""สบก!BZ83"")"),0)</f>
        <v>0</v>
      </c>
      <c r="M258" s="101"/>
      <c r="N258" s="91">
        <f ca="1">IFERROR(__xludf.DUMMYFUNCTION("IMPORTRANGE(""https://docs.google.com/spreadsheets/d/1Yj_ptqi66GCucihVvJfMjLAmec39IyEx_6qawtMGysU/edit?usp=sharing"",""สบก!CD83"")"),0)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IFERROR(__xludf.DUMMYFUNCTION("IMPORTRANGE(""https://docs.google.com/spreadsheets/d/1IYY_tgx_IHuhSq3AJ5eI5OnqOPBNLWSHKh2a30DoXe8/edit?usp=sharing"",""ตรัง!J175"")"),0)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IFERROR(__xludf.DUMMYFUNCTION("IMPORTRANGE(""https://docs.google.com/spreadsheets/d/1IYY_tgx_IHuhSq3AJ5eI5OnqOPBNLWSHKh2a30DoXe8/edit?usp=sharing"",""ตรัง!J176"")"),1)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IFERROR(__xludf.DUMMYFUNCTION("IMPORTRANGE(""https://docs.google.com/spreadsheets/d/1IYY_tgx_IHuhSq3AJ5eI5OnqOPBNLWSHKh2a30DoXe8/edit?usp=sharing"",""ตรัง!J177"")"),1)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IFERROR(__xludf.DUMMYFUNCTION("IMPORTRANGE(""https://docs.google.com/spreadsheets/d/1IYY_tgx_IHuhSq3AJ5eI5OnqOPBNLWSHKh2a30DoXe8/edit?usp=sharing"",""ตรัง!J178"")"),1)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IFERROR(__xludf.DUMMYFUNCTION("IMPORTRANGE(""https://docs.google.com/spreadsheets/d/1IYY_tgx_IHuhSq3AJ5eI5OnqOPBNLWSHKh2a30DoXe8/edit?usp=sharing"",""ตรัง!I179"")"),1)</f>
        <v>1</v>
      </c>
      <c r="J264" s="195">
        <f ca="1">IFERROR(__xludf.DUMMYFUNCTION("IMPORTRANGE(""https://docs.google.com/spreadsheets/d/1IYY_tgx_IHuhSq3AJ5eI5OnqOPBNLWSHKh2a30DoXe8/edit?usp=sharing"",""ตรัง!J179"")"),1)</f>
        <v>1</v>
      </c>
      <c r="K264" s="167">
        <f t="shared" ref="K264:K267" ca="1" si="82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IFERROR(__xludf.DUMMYFUNCTION("IMPORTRANGE(""https://docs.google.com/spreadsheets/d/1IYY_tgx_IHuhSq3AJ5eI5OnqOPBNLWSHKh2a30DoXe8/edit?usp=sharing"",""ตรัง!I180"")"),20)</f>
        <v>20</v>
      </c>
      <c r="J265" s="195">
        <f ca="1">IFERROR(__xludf.DUMMYFUNCTION("IMPORTRANGE(""https://docs.google.com/spreadsheets/d/1IYY_tgx_IHuhSq3AJ5eI5OnqOPBNLWSHKh2a30DoXe8/edit?usp=sharing"",""ตรัง!J180"")"),20)</f>
        <v>20</v>
      </c>
      <c r="K265" s="167">
        <f t="shared" ca="1" si="82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IFERROR(__xludf.DUMMYFUNCTION("IMPORTRANGE(""https://docs.google.com/spreadsheets/d/1IYY_tgx_IHuhSq3AJ5eI5OnqOPBNLWSHKh2a30DoXe8/edit?usp=sharing"",""ตรัง!I181"")"),20)</f>
        <v>20</v>
      </c>
      <c r="J266" s="195">
        <f ca="1">IFERROR(__xludf.DUMMYFUNCTION("IMPORTRANGE(""https://docs.google.com/spreadsheets/d/1IYY_tgx_IHuhSq3AJ5eI5OnqOPBNLWSHKh2a30DoXe8/edit?usp=sharing"",""ตรัง!J181"")"),0)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IFERROR(__xludf.DUMMYFUNCTION("IMPORTRANGE(""https://docs.google.com/spreadsheets/d/1IYY_tgx_IHuhSq3AJ5eI5OnqOPBNLWSHKh2a30DoXe8/edit?usp=sharing"",""ตรัง!I182"")"),1)</f>
        <v>1</v>
      </c>
      <c r="J267" s="195">
        <f ca="1">IFERROR(__xludf.DUMMYFUNCTION("IMPORTRANGE(""https://docs.google.com/spreadsheets/d/1IYY_tgx_IHuhSq3AJ5eI5OnqOPBNLWSHKh2a30DoXe8/edit?usp=sharing"",""ตรัง!J182"")"),1)</f>
        <v>1</v>
      </c>
      <c r="K267" s="167">
        <f t="shared" ca="1" si="82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IFERROR(__xludf.DUMMYFUNCTION("IMPORTRANGE(""https://docs.google.com/spreadsheets/d/1IYY_tgx_IHuhSq3AJ5eI5OnqOPBNLWSHKh2a30DoXe8/edit?usp=sharing"",""ตรัง!J183"")"),0)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IFERROR(__xludf.DUMMYFUNCTION("IMPORTRANGE(""https://docs.google.com/spreadsheets/d/1IYY_tgx_IHuhSq3AJ5eI5OnqOPBNLWSHKh2a30DoXe8/edit?usp=sharing"",""ตรัง!J184"")"),0)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IFERROR(__xludf.DUMMYFUNCTION("IMPORTRANGE(""https://docs.google.com/spreadsheets/d/1IYY_tgx_IHuhSq3AJ5eI5OnqOPBNLWSHKh2a30DoXe8/edit?usp=sharing"",""ตรัง!I185"")"),0)</f>
        <v>0</v>
      </c>
      <c r="J270" s="322">
        <f ca="1">IFERROR(__xludf.DUMMYFUNCTION("IMPORTRANGE(""https://docs.google.com/spreadsheets/d/1IYY_tgx_IHuhSq3AJ5eI5OnqOPBNLWSHKh2a30DoXe8/edit?usp=sharing"",""ตรัง!J185"")"),0)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IFERROR(__xludf.DUMMYFUNCTION("IMPORTRANGE(""https://docs.google.com/spreadsheets/d/1Yj_ptqi66GCucihVvJfMjLAmec39IyEx_6qawtMGysU/edit?usp=sharing"",""สบก!CK83"")"),0)</f>
        <v>0</v>
      </c>
      <c r="N275" s="174">
        <f ca="1">IFERROR(__xludf.DUMMYFUNCTION("IMPORTRANGE(""https://docs.google.com/spreadsheets/d/1Yj_ptqi66GCucihVvJfMjLAmec39IyEx_6qawtMGysU/edit?usp=sharing"",""สบก!CL83"")"),0)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IFERROR(__xludf.DUMMYFUNCTION("IMPORTRANGE(""https://docs.google.com/spreadsheets/d/1Yj_ptqi66GCucihVvJfMjLAmec39IyEx_6qawtMGysU/edit?usp=sharing"",""สบก!CG83"")"),0)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IFERROR(__xludf.DUMMYFUNCTION("IMPORTRANGE(""https://docs.google.com/spreadsheets/d/1Yj_ptqi66GCucihVvJfMjLAmec39IyEx_6qawtMGysU/edit?usp=sharing"",""สบก!CH83"")"),0)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IFERROR(__xludf.DUMMYFUNCTION("IMPORTRANGE(""https://docs.google.com/spreadsheets/d/1Yj_ptqi66GCucihVvJfMjLAmec39IyEx_6qawtMGysU/edit?usp=sharing"",""สบก!CI83"")"),0)</f>
        <v>0</v>
      </c>
      <c r="M279" s="101"/>
      <c r="N279" s="91">
        <f ca="1">IFERROR(__xludf.DUMMYFUNCTION("IMPORTRANGE(""https://docs.google.com/spreadsheets/d/1Yj_ptqi66GCucihVvJfMjLAmec39IyEx_6qawtMGysU/edit?usp=sharing"",""สบก!CM83"")"),0)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IFERROR(__xludf.DUMMYFUNCTION("IMPORTRANGE(""https://docs.google.com/spreadsheets/d/1IYY_tgx_IHuhSq3AJ5eI5OnqOPBNLWSHKh2a30DoXe8/edit?usp=sharing"",""ตรัง!J191"")"),0)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IFERROR(__xludf.DUMMYFUNCTION("IMPORTRANGE(""https://docs.google.com/spreadsheets/d/1IYY_tgx_IHuhSq3AJ5eI5OnqOPBNLWSHKh2a30DoXe8/edit?usp=sharing"",""ตรัง!J192"")"),0)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IFERROR(__xludf.DUMMYFUNCTION("IMPORTRANGE(""https://docs.google.com/spreadsheets/d/1IYY_tgx_IHuhSq3AJ5eI5OnqOPBNLWSHKh2a30DoXe8/edit?usp=sharing"",""ตรัง!J193"")"),0)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IFERROR(__xludf.DUMMYFUNCTION("IMPORTRANGE(""https://docs.google.com/spreadsheets/d/1IYY_tgx_IHuhSq3AJ5eI5OnqOPBNLWSHKh2a30DoXe8/edit?usp=sharing"",""ตรัง!J194"")"),0)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IFERROR(__xludf.DUMMYFUNCTION("IMPORTRANGE(""https://docs.google.com/spreadsheets/d/1IYY_tgx_IHuhSq3AJ5eI5OnqOPBNLWSHKh2a30DoXe8/edit?usp=sharing"",""ตรัง!I195"")"),0)</f>
        <v>0</v>
      </c>
      <c r="J285" s="195">
        <f ca="1">IFERROR(__xludf.DUMMYFUNCTION("IMPORTRANGE(""https://docs.google.com/spreadsheets/d/1IYY_tgx_IHuhSq3AJ5eI5OnqOPBNLWSHKh2a30DoXe8/edit?usp=sharing"",""ตรัง!J195"")"),0)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IFERROR(__xludf.DUMMYFUNCTION("IMPORTRANGE(""https://docs.google.com/spreadsheets/d/1IYY_tgx_IHuhSq3AJ5eI5OnqOPBNLWSHKh2a30DoXe8/edit?usp=sharing"",""ตรัง!J196"")"),0)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IFERROR(__xludf.DUMMYFUNCTION("IMPORTRANGE(""https://docs.google.com/spreadsheets/d/1IYY_tgx_IHuhSq3AJ5eI5OnqOPBNLWSHKh2a30DoXe8/edit?usp=sharing"",""ตรัง!J197"")"),0)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IFERROR(__xludf.DUMMYFUNCTION("IMPORTRANGE(""https://docs.google.com/spreadsheets/d/1IYY_tgx_IHuhSq3AJ5eI5OnqOPBNLWSHKh2a30DoXe8/edit?usp=sharing"",""ตรัง!I199"")"),0)</f>
        <v>0</v>
      </c>
      <c r="J289" s="322">
        <f ca="1">IFERROR(__xludf.DUMMYFUNCTION("IMPORTRANGE(""https://docs.google.com/spreadsheets/d/1IYY_tgx_IHuhSq3AJ5eI5OnqOPBNLWSHKh2a30DoXe8/edit?usp=sharing"",""ตรัง!J199"")"),0)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IFERROR(__xludf.DUMMYFUNCTION("IMPORTRANGE(""https://docs.google.com/spreadsheets/d/1Yj_ptqi66GCucihVvJfMjLAmec39IyEx_6qawtMGysU/edit?usp=sharing"",""สบก!CT83"")"),0)</f>
        <v>0</v>
      </c>
      <c r="N294" s="174">
        <f ca="1">IFERROR(__xludf.DUMMYFUNCTION("IMPORTRANGE(""https://docs.google.com/spreadsheets/d/1Yj_ptqi66GCucihVvJfMjLAmec39IyEx_6qawtMGysU/edit?usp=sharing"",""สบก!CU83"")"),0)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IFERROR(__xludf.DUMMYFUNCTION("IMPORTRANGE(""https://docs.google.com/spreadsheets/d/1Yj_ptqi66GCucihVvJfMjLAmec39IyEx_6qawtMGysU/edit?usp=sharing"",""สบก!CP83"")"),0)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IFERROR(__xludf.DUMMYFUNCTION("IMPORTRANGE(""https://docs.google.com/spreadsheets/d/1Yj_ptqi66GCucihVvJfMjLAmec39IyEx_6qawtMGysU/edit?usp=sharing"",""สบก!CQ83"")"),0)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IFERROR(__xludf.DUMMYFUNCTION("IMPORTRANGE(""https://docs.google.com/spreadsheets/d/1Yj_ptqi66GCucihVvJfMjLAmec39IyEx_6qawtMGysU/edit?usp=sharing"",""สบก!CR83"")"),0)</f>
        <v>0</v>
      </c>
      <c r="M298" s="101"/>
      <c r="N298" s="91">
        <f ca="1">IFERROR(__xludf.DUMMYFUNCTION("IMPORTRANGE(""https://docs.google.com/spreadsheets/d/1Yj_ptqi66GCucihVvJfMjLAmec39IyEx_6qawtMGysU/edit?usp=sharing"",""สบก!CV83"")"),0)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IFERROR(__xludf.DUMMYFUNCTION("IMPORTRANGE(""https://docs.google.com/spreadsheets/d/1IYY_tgx_IHuhSq3AJ5eI5OnqOPBNLWSHKh2a30DoXe8/edit?usp=sharing"",""ตรัง!J205"")"),0)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IFERROR(__xludf.DUMMYFUNCTION("IMPORTRANGE(""https://docs.google.com/spreadsheets/d/1IYY_tgx_IHuhSq3AJ5eI5OnqOPBNLWSHKh2a30DoXe8/edit?usp=sharing"",""ตรัง!J206"")"),0)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IFERROR(__xludf.DUMMYFUNCTION("IMPORTRANGE(""https://docs.google.com/spreadsheets/d/1IYY_tgx_IHuhSq3AJ5eI5OnqOPBNLWSHKh2a30DoXe8/edit?usp=sharing"",""ตรัง!J207"")"),0)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IFERROR(__xludf.DUMMYFUNCTION("IMPORTRANGE(""https://docs.google.com/spreadsheets/d/1IYY_tgx_IHuhSq3AJ5eI5OnqOPBNLWSHKh2a30DoXe8/edit?usp=sharing"",""ตรัง!J208"")"),0)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IFERROR(__xludf.DUMMYFUNCTION("IMPORTRANGE(""https://docs.google.com/spreadsheets/d/1IYY_tgx_IHuhSq3AJ5eI5OnqOPBNLWSHKh2a30DoXe8/edit?usp=sharing"",""ตรัง!I209"")"),0)</f>
        <v>0</v>
      </c>
      <c r="J304" s="210">
        <f ca="1">IFERROR(__xludf.DUMMYFUNCTION("IMPORTRANGE(""https://docs.google.com/spreadsheets/d/1IYY_tgx_IHuhSq3AJ5eI5OnqOPBNLWSHKh2a30DoXe8/edit?usp=sharing"",""ตรัง!J209"")"),0)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IFERROR(__xludf.DUMMYFUNCTION("IMPORTRANGE(""https://docs.google.com/spreadsheets/d/1IYY_tgx_IHuhSq3AJ5eI5OnqOPBNLWSHKh2a30DoXe8/edit?usp=sharing"",""ตรัง!I211"")"),0)</f>
        <v>0</v>
      </c>
      <c r="J306" s="210">
        <f ca="1">IFERROR(__xludf.DUMMYFUNCTION("IMPORTRANGE(""https://docs.google.com/spreadsheets/d/1IYY_tgx_IHuhSq3AJ5eI5OnqOPBNLWSHKh2a30DoXe8/edit?usp=sharing"",""ตรัง!J211"")"),0)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IFERROR(__xludf.DUMMYFUNCTION("IMPORTRANGE(""https://docs.google.com/spreadsheets/d/1IYY_tgx_IHuhSq3AJ5eI5OnqOPBNLWSHKh2a30DoXe8/edit?usp=sharing"",""ตรัง!J212"")"),0)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IFERROR(__xludf.DUMMYFUNCTION("IMPORTRANGE(""https://docs.google.com/spreadsheets/d/1IYY_tgx_IHuhSq3AJ5eI5OnqOPBNLWSHKh2a30DoXe8/edit?usp=sharing"",""ตรัง!J213"")"),0)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IFERROR(__xludf.DUMMYFUNCTION("IMPORTRANGE(""https://docs.google.com/spreadsheets/d/1IYY_tgx_IHuhSq3AJ5eI5OnqOPBNLWSHKh2a30DoXe8/edit?usp=sharing"",""ตรัง!I214"")"),0)</f>
        <v>0</v>
      </c>
      <c r="J309" s="339">
        <f ca="1">IFERROR(__xludf.DUMMYFUNCTION("IMPORTRANGE(""https://docs.google.com/spreadsheets/d/1IYY_tgx_IHuhSq3AJ5eI5OnqOPBNLWSHKh2a30DoXe8/edit?usp=sharing"",""ตรัง!J214"")"),0)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IFERROR(__xludf.DUMMYFUNCTION("IMPORTRANGE(""https://docs.google.com/spreadsheets/d/1Yj_ptqi66GCucihVvJfMjLAmec39IyEx_6qawtMGysU/edit?usp=sharing"",""สบก!DC83"")"),0)</f>
        <v>0</v>
      </c>
      <c r="N314" s="174">
        <f ca="1">IFERROR(__xludf.DUMMYFUNCTION("IMPORTRANGE(""https://docs.google.com/spreadsheets/d/1Yj_ptqi66GCucihVvJfMjLAmec39IyEx_6qawtMGysU/edit?usp=sharing"",""สบก!DD83"")"),0)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IFERROR(__xludf.DUMMYFUNCTION("IMPORTRANGE(""https://docs.google.com/spreadsheets/d/1Yj_ptqi66GCucihVvJfMjLAmec39IyEx_6qawtMGysU/edit?usp=sharing"",""สบก!CY83"")"),0)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IFERROR(__xludf.DUMMYFUNCTION("IMPORTRANGE(""https://docs.google.com/spreadsheets/d/1Yj_ptqi66GCucihVvJfMjLAmec39IyEx_6qawtMGysU/edit?usp=sharing"",""สบก!CZ83"")"),0)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IFERROR(__xludf.DUMMYFUNCTION("IMPORTRANGE(""https://docs.google.com/spreadsheets/d/1Yj_ptqi66GCucihVvJfMjLAmec39IyEx_6qawtMGysU/edit?usp=sharing"",""สบก!DA83"")"),0)</f>
        <v>0</v>
      </c>
      <c r="M318" s="101"/>
      <c r="N318" s="91">
        <f ca="1">IFERROR(__xludf.DUMMYFUNCTION("IMPORTRANGE(""https://docs.google.com/spreadsheets/d/1Yj_ptqi66GCucihVvJfMjLAmec39IyEx_6qawtMGysU/edit?usp=sharing"",""สบก!DE83"")"),0)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IFERROR(__xludf.DUMMYFUNCTION("IMPORTRANGE(""https://docs.google.com/spreadsheets/d/1IYY_tgx_IHuhSq3AJ5eI5OnqOPBNLWSHKh2a30DoXe8/edit?usp=sharing"",""ตรัง!J220"")"),0)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IFERROR(__xludf.DUMMYFUNCTION("IMPORTRANGE(""https://docs.google.com/spreadsheets/d/1IYY_tgx_IHuhSq3AJ5eI5OnqOPBNLWSHKh2a30DoXe8/edit?usp=sharing"",""ตรัง!J221"")"),0)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IFERROR(__xludf.DUMMYFUNCTION("IMPORTRANGE(""https://docs.google.com/spreadsheets/d/1IYY_tgx_IHuhSq3AJ5eI5OnqOPBNLWSHKh2a30DoXe8/edit?usp=sharing"",""ตรัง!J222"")"),0)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IFERROR(__xludf.DUMMYFUNCTION("IMPORTRANGE(""https://docs.google.com/spreadsheets/d/1IYY_tgx_IHuhSq3AJ5eI5OnqOPBNLWSHKh2a30DoXe8/edit?usp=sharing"",""ตรัง!J223"")"),0)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IFERROR(__xludf.DUMMYFUNCTION("IMPORTRANGE(""https://docs.google.com/spreadsheets/d/1IYY_tgx_IHuhSq3AJ5eI5OnqOPBNLWSHKh2a30DoXe8/edit?usp=sharing"",""ตรัง!I224"")"),0)</f>
        <v>0</v>
      </c>
      <c r="J324" s="210">
        <f ca="1">IFERROR(__xludf.DUMMYFUNCTION("IMPORTRANGE(""https://docs.google.com/spreadsheets/d/1IYY_tgx_IHuhSq3AJ5eI5OnqOPBNLWSHKh2a30DoXe8/edit?usp=sharing"",""ตรัง!J224"")"),0)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IFERROR(__xludf.DUMMYFUNCTION("IMPORTRANGE(""https://docs.google.com/spreadsheets/d/1IYY_tgx_IHuhSq3AJ5eI5OnqOPBNLWSHKh2a30DoXe8/edit?usp=sharing"",""ตรัง!J225"")"),0)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IFERROR(__xludf.DUMMYFUNCTION("IMPORTRANGE(""https://docs.google.com/spreadsheets/d/1IYY_tgx_IHuhSq3AJ5eI5OnqOPBNLWSHKh2a30DoXe8/edit?usp=sharing"",""ตรัง!J226"")"),0)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IFERROR(__xludf.DUMMYFUNCTION("IMPORTRANGE(""https://docs.google.com/spreadsheets/d/1IYY_tgx_IHuhSq3AJ5eI5OnqOPBNLWSHKh2a30DoXe8/edit?usp=sharing"",""ตรัง!I228"")"),163)</f>
        <v>163</v>
      </c>
      <c r="J328" s="345">
        <f ca="1">IFERROR(__xludf.DUMMYFUNCTION("IMPORTRANGE(""https://docs.google.com/spreadsheets/d/1IYY_tgx_IHuhSq3AJ5eI5OnqOPBNLWSHKh2a30DoXe8/edit?usp=sharing"",""ตรัง!J228"")"),179)</f>
        <v>179</v>
      </c>
      <c r="K328" s="323">
        <f ca="1">IF(I328&gt;0,J328*100/I328,0)</f>
        <v>109.8159509202454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890750</v>
      </c>
      <c r="M329" s="156">
        <f t="shared" ca="1" si="98"/>
        <v>702570</v>
      </c>
      <c r="N329" s="156">
        <f t="shared" ca="1" si="98"/>
        <v>537732.82000000007</v>
      </c>
      <c r="O329" s="155">
        <f t="shared" ref="O329:O331" ca="1" si="99">IF(L329&gt;0,N329*100/L329,0)</f>
        <v>60.368545607634026</v>
      </c>
      <c r="P329" s="155">
        <f t="shared" ref="P329:P331" ca="1" si="100">IF(M329&gt;0,N329*100/M329,0)</f>
        <v>76.537970593677514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890750</v>
      </c>
      <c r="M331" s="161">
        <f t="shared" ca="1" si="102"/>
        <v>702570</v>
      </c>
      <c r="N331" s="161">
        <f t="shared" ca="1" si="102"/>
        <v>537732.82000000007</v>
      </c>
      <c r="O331" s="160">
        <f t="shared" ca="1" si="99"/>
        <v>60.368545607634026</v>
      </c>
      <c r="P331" s="160">
        <f t="shared" ca="1" si="100"/>
        <v>76.537970593677514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739550</v>
      </c>
      <c r="M333" s="173">
        <f ca="1">IFERROR(__xludf.DUMMYFUNCTION("IMPORTRANGE(""https://docs.google.com/spreadsheets/d/1Yj_ptqi66GCucihVvJfMjLAmec39IyEx_6qawtMGysU/edit?usp=sharing"",""สบก!DL83"")"),551370)</f>
        <v>551370</v>
      </c>
      <c r="N333" s="174">
        <f ca="1">IFERROR(__xludf.DUMMYFUNCTION("IMPORTRANGE(""https://docs.google.com/spreadsheets/d/1Yj_ptqi66GCucihVvJfMjLAmec39IyEx_6qawtMGysU/edit?usp=sharing"",""สบก!DM83"")"),386532.82)</f>
        <v>386532.82</v>
      </c>
      <c r="O333" s="175">
        <f ca="1">IF(L333&gt;0,N333*100/L333,0)</f>
        <v>52.265948211750391</v>
      </c>
      <c r="P333" s="175">
        <f ca="1">IF(M333&gt;0,N333*100/M333,0)</f>
        <v>70.104071676007038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IFERROR(__xludf.DUMMYFUNCTION("IMPORTRANGE(""https://docs.google.com/spreadsheets/d/1Yj_ptqi66GCucihVvJfMjLAmec39IyEx_6qawtMGysU/edit?usp=sharing"",""สบก!DH83"")"),388800)</f>
        <v>388800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IFERROR(__xludf.DUMMYFUNCTION("IMPORTRANGE(""https://docs.google.com/spreadsheets/d/1Yj_ptqi66GCucihVvJfMjLAmec39IyEx_6qawtMGysU/edit?usp=sharing"",""สบก!DI83"")"),350750)</f>
        <v>350750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IFERROR(__xludf.DUMMYFUNCTION("IMPORTRANGE(""https://docs.google.com/spreadsheets/d/1Yj_ptqi66GCucihVvJfMjLAmec39IyEx_6qawtMGysU/edit?usp=sharing"",""สบก!DJ83"")"),151200)</f>
        <v>151200</v>
      </c>
      <c r="M337" s="101">
        <f ca="1">L337</f>
        <v>151200</v>
      </c>
      <c r="N337" s="91">
        <f ca="1">IFERROR(__xludf.DUMMYFUNCTION("IMPORTRANGE(""https://docs.google.com/spreadsheets/d/1Yj_ptqi66GCucihVvJfMjLAmec39IyEx_6qawtMGysU/edit?usp=sharing"",""สบก!DN83"")"),151200)</f>
        <v>151200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IFERROR(__xludf.DUMMYFUNCTION("IMPORTRANGE(""https://docs.google.com/spreadsheets/d/1IYY_tgx_IHuhSq3AJ5eI5OnqOPBNLWSHKh2a30DoXe8/edit?usp=sharing"",""ตรัง!I234"")"),0)</f>
        <v>0</v>
      </c>
      <c r="J339" s="194">
        <f ca="1">IFERROR(__xludf.DUMMYFUNCTION("IMPORTRANGE(""https://docs.google.com/spreadsheets/d/1IYY_tgx_IHuhSq3AJ5eI5OnqOPBNLWSHKh2a30DoXe8/edit?usp=sharing"",""ตรัง!J234"")"),215)</f>
        <v>215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IFERROR(__xludf.DUMMYFUNCTION("IMPORTRANGE(""https://docs.google.com/spreadsheets/d/1IYY_tgx_IHuhSq3AJ5eI5OnqOPBNLWSHKh2a30DoXe8/edit?usp=sharing"",""ตรัง!I235"")"),1840)</f>
        <v>1840</v>
      </c>
      <c r="J340" s="194">
        <f ca="1">IFERROR(__xludf.DUMMYFUNCTION("IMPORTRANGE(""https://docs.google.com/spreadsheets/d/1IYY_tgx_IHuhSq3AJ5eI5OnqOPBNLWSHKh2a30DoXe8/edit?usp=sharing"",""ตรัง!J235"")"),1211.63999999999)</f>
        <v>1211.6399999999901</v>
      </c>
      <c r="K340" s="348">
        <f t="shared" ca="1" si="103"/>
        <v>65.849999999999469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IFERROR(__xludf.DUMMYFUNCTION("IMPORTRANGE(""https://docs.google.com/spreadsheets/d/1IYY_tgx_IHuhSq3AJ5eI5OnqOPBNLWSHKh2a30DoXe8/edit?usp=sharing"",""ตรัง!I236"")"),163)</f>
        <v>163</v>
      </c>
      <c r="J341" s="194">
        <f ca="1">IFERROR(__xludf.DUMMYFUNCTION("IMPORTRANGE(""https://docs.google.com/spreadsheets/d/1IYY_tgx_IHuhSq3AJ5eI5OnqOPBNLWSHKh2a30DoXe8/edit?usp=sharing"",""ตรัง!J236"")"),279)</f>
        <v>279</v>
      </c>
      <c r="K341" s="348">
        <f t="shared" ca="1" si="103"/>
        <v>171.16564417177915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IFERROR(__xludf.DUMMYFUNCTION("IMPORTRANGE(""https://docs.google.com/spreadsheets/d/1IYY_tgx_IHuhSq3AJ5eI5OnqOPBNLWSHKh2a30DoXe8/edit?usp=sharing"",""ตรัง!I237"")"),0)</f>
        <v>0</v>
      </c>
      <c r="J342" s="194">
        <f ca="1">IFERROR(__xludf.DUMMYFUNCTION("IMPORTRANGE(""https://docs.google.com/spreadsheets/d/1IYY_tgx_IHuhSq3AJ5eI5OnqOPBNLWSHKh2a30DoXe8/edit?usp=sharing"",""ตรัง!J237"")"),2705.12)</f>
        <v>2705.12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IFERROR(__xludf.DUMMYFUNCTION("IMPORTRANGE(""https://docs.google.com/spreadsheets/d/1IYY_tgx_IHuhSq3AJ5eI5OnqOPBNLWSHKh2a30DoXe8/edit?usp=sharing"",""ตรัง!I238"")"),163)</f>
        <v>163</v>
      </c>
      <c r="J343" s="194">
        <f ca="1">IFERROR(__xludf.DUMMYFUNCTION("IMPORTRANGE(""https://docs.google.com/spreadsheets/d/1IYY_tgx_IHuhSq3AJ5eI5OnqOPBNLWSHKh2a30DoXe8/edit?usp=sharing"",""ตรัง!J238"")"),0)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IFERROR(__xludf.DUMMYFUNCTION("IMPORTRANGE(""https://docs.google.com/spreadsheets/d/1IYY_tgx_IHuhSq3AJ5eI5OnqOPBNLWSHKh2a30DoXe8/edit?usp=sharing"",""ตรัง!I239"")"),0)</f>
        <v>0</v>
      </c>
      <c r="J344" s="194">
        <f ca="1">IFERROR(__xludf.DUMMYFUNCTION("IMPORTRANGE(""https://docs.google.com/spreadsheets/d/1IYY_tgx_IHuhSq3AJ5eI5OnqOPBNLWSHKh2a30DoXe8/edit?usp=sharing"",""ตรัง!J239"")"),0)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IFERROR(__xludf.DUMMYFUNCTION("IMPORTRANGE(""https://docs.google.com/spreadsheets/d/1IYY_tgx_IHuhSq3AJ5eI5OnqOPBNLWSHKh2a30DoXe8/edit?usp=sharing"",""ตรัง!I240"")"),163)</f>
        <v>163</v>
      </c>
      <c r="J345" s="194">
        <f ca="1">IFERROR(__xludf.DUMMYFUNCTION("IMPORTRANGE(""https://docs.google.com/spreadsheets/d/1IYY_tgx_IHuhSq3AJ5eI5OnqOPBNLWSHKh2a30DoXe8/edit?usp=sharing"",""ตรัง!J240"")"),179)</f>
        <v>179</v>
      </c>
      <c r="K345" s="348">
        <f t="shared" ca="1" si="103"/>
        <v>109.8159509202454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IFERROR(__xludf.DUMMYFUNCTION("IMPORTRANGE(""https://docs.google.com/spreadsheets/d/1IYY_tgx_IHuhSq3AJ5eI5OnqOPBNLWSHKh2a30DoXe8/edit?usp=sharing"",""ตรัง!I241"")"),0)</f>
        <v>0</v>
      </c>
      <c r="J346" s="194">
        <f ca="1">IFERROR(__xludf.DUMMYFUNCTION("IMPORTRANGE(""https://docs.google.com/spreadsheets/d/1IYY_tgx_IHuhSq3AJ5eI5OnqOPBNLWSHKh2a30DoXe8/edit?usp=sharing"",""ตรัง!J241"")"),1887.3)</f>
        <v>1887.3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IFERROR(__xludf.DUMMYFUNCTION("IMPORTRANGE(""https://docs.google.com/spreadsheets/d/1IYY_tgx_IHuhSq3AJ5eI5OnqOPBNLWSHKh2a30DoXe8/edit?usp=sharing"",""ตรัง!L242"")"),1241298.1)</f>
        <v>1241298.1000000001</v>
      </c>
      <c r="M347" s="364"/>
      <c r="N347" s="364">
        <f ca="1">IFERROR(__xludf.DUMMYFUNCTION("IMPORTRANGE(""https://docs.google.com/spreadsheets/d/1IYY_tgx_IHuhSq3AJ5eI5OnqOPBNLWSHKh2a30DoXe8/edit?usp=sharing"",""ตรัง!M242"")"),410336.91)</f>
        <v>410336.91</v>
      </c>
      <c r="O347" s="364">
        <f ca="1">+IF(L347&gt;0,N347*100/L347,0)</f>
        <v>33.057080325829865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IFERROR(__xludf.DUMMYFUNCTION("IMPORTRANGE(""https://docs.google.com/spreadsheets/d/1IYY_tgx_IHuhSq3AJ5eI5OnqOPBNLWSHKh2a30DoXe8/edit?usp=sharing"",""ตรัง!I244"")"),70)</f>
        <v>70</v>
      </c>
      <c r="J349" s="377">
        <f ca="1">IFERROR(__xludf.DUMMYFUNCTION("IMPORTRANGE(""https://docs.google.com/spreadsheets/d/1IYY_tgx_IHuhSq3AJ5eI5OnqOPBNLWSHKh2a30DoXe8/edit?usp=sharing"",""ตรัง!J244"")"),0)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IFERROR(__xludf.DUMMYFUNCTION("IMPORTRANGE(""https://docs.google.com/spreadsheets/d/1IYY_tgx_IHuhSq3AJ5eI5OnqOPBNLWSHKh2a30DoXe8/edit?usp=sharing"",""ตรัง!L244"")"),274060)</f>
        <v>274060</v>
      </c>
      <c r="M349" s="379"/>
      <c r="N349" s="379">
        <f ca="1">IFERROR(__xludf.DUMMYFUNCTION("IMPORTRANGE(""https://docs.google.com/spreadsheets/d/1IYY_tgx_IHuhSq3AJ5eI5OnqOPBNLWSHKh2a30DoXe8/edit?usp=sharing"",""ตรัง!M244"")"),79899.38)</f>
        <v>79899.38</v>
      </c>
      <c r="O349" s="379">
        <f ca="1">+IF(L349&gt;0,N349*100/L349,0)</f>
        <v>29.153973582427206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IFERROR(__xludf.DUMMYFUNCTION("IMPORTRANGE(""https://docs.google.com/spreadsheets/d/1IYY_tgx_IHuhSq3AJ5eI5OnqOPBNLWSHKh2a30DoXe8/edit?usp=sharing"",""ตรัง!I245"")"),25)</f>
        <v>25</v>
      </c>
      <c r="J350" s="377">
        <f ca="1">IFERROR(__xludf.DUMMYFUNCTION("IMPORTRANGE(""https://docs.google.com/spreadsheets/d/1IYY_tgx_IHuhSq3AJ5eI5OnqOPBNLWSHKh2a30DoXe8/edit?usp=sharing"",""ตรัง!J245"")"),25)</f>
        <v>25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IFERROR(__xludf.DUMMYFUNCTION("IMPORTRANGE(""https://docs.google.com/spreadsheets/d/1IYY_tgx_IHuhSq3AJ5eI5OnqOPBNLWSHKh2a30DoXe8/edit?usp=sharing"",""ตรัง!L246"")"),0)</f>
        <v>0</v>
      </c>
      <c r="M351" s="168"/>
      <c r="N351" s="168">
        <f ca="1">IFERROR(__xludf.DUMMYFUNCTION("IMPORTRANGE(""https://docs.google.com/spreadsheets/d/1IYY_tgx_IHuhSq3AJ5eI5OnqOPBNLWSHKh2a30DoXe8/edit?usp=sharing"",""ตรัง!M246"")"),0)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IFERROR(__xludf.DUMMYFUNCTION("IMPORTRANGE(""https://docs.google.com/spreadsheets/d/1IYY_tgx_IHuhSq3AJ5eI5OnqOPBNLWSHKh2a30DoXe8/edit?usp=sharing"",""ตรัง!L247"")"),274060)</f>
        <v>274060</v>
      </c>
      <c r="M352" s="169"/>
      <c r="N352" s="168">
        <f ca="1">IFERROR(__xludf.DUMMYFUNCTION("IMPORTRANGE(""https://docs.google.com/spreadsheets/d/1IYY_tgx_IHuhSq3AJ5eI5OnqOPBNLWSHKh2a30DoXe8/edit?usp=sharing"",""ตรัง!M247"")"),79899.38)</f>
        <v>79899.38</v>
      </c>
      <c r="O352" s="169">
        <f t="shared" ca="1" si="105"/>
        <v>29.153973582427206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IFERROR(__xludf.DUMMYFUNCTION("IMPORTRANGE(""https://docs.google.com/spreadsheets/d/1IYY_tgx_IHuhSq3AJ5eI5OnqOPBNLWSHKh2a30DoXe8/edit?usp=sharing"",""ตรัง!L248"")"),0)</f>
        <v>0</v>
      </c>
      <c r="M353" s="175"/>
      <c r="N353" s="175">
        <f ca="1">IFERROR(__xludf.DUMMYFUNCTION("IMPORTRANGE(""https://docs.google.com/spreadsheets/d/1IYY_tgx_IHuhSq3AJ5eI5OnqOPBNLWSHKh2a30DoXe8/edit?usp=sharing"",""ตรัง!M248"")"),0)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IFERROR(__xludf.DUMMYFUNCTION("IMPORTRANGE(""https://docs.google.com/spreadsheets/d/1IYY_tgx_IHuhSq3AJ5eI5OnqOPBNLWSHKh2a30DoXe8/edit?usp=sharing"",""ตรัง!L249"")"),274060)</f>
        <v>274060</v>
      </c>
      <c r="M354" s="175"/>
      <c r="N354" s="172">
        <f ca="1">IFERROR(__xludf.DUMMYFUNCTION("IMPORTRANGE(""https://docs.google.com/spreadsheets/d/1IYY_tgx_IHuhSq3AJ5eI5OnqOPBNLWSHKh2a30DoXe8/edit?usp=sharing"",""ตรัง!M249"")"),79899.38)</f>
        <v>79899.38</v>
      </c>
      <c r="O354" s="175">
        <f t="shared" ca="1" si="105"/>
        <v>29.153973582427206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IFERROR(__xludf.DUMMYFUNCTION("IMPORTRANGE(""https://docs.google.com/spreadsheets/d/1IYY_tgx_IHuhSq3AJ5eI5OnqOPBNLWSHKh2a30DoXe8/edit?usp=sharing"",""ตรัง!M250"")"),24404.3)</f>
        <v>24404.3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IFERROR(__xludf.DUMMYFUNCTION("IMPORTRANGE(""https://docs.google.com/spreadsheets/d/1IYY_tgx_IHuhSq3AJ5eI5OnqOPBNLWSHKh2a30DoXe8/edit?usp=sharing"",""ตรัง!M251"")"),8890)</f>
        <v>8890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IFERROR(__xludf.DUMMYFUNCTION("IMPORTRANGE(""https://docs.google.com/spreadsheets/d/1IYY_tgx_IHuhSq3AJ5eI5OnqOPBNLWSHKh2a30DoXe8/edit?usp=sharing"",""ตรัง!M252"")"),43633)</f>
        <v>43633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IFERROR(__xludf.DUMMYFUNCTION("IMPORTRANGE(""https://docs.google.com/spreadsheets/d/1IYY_tgx_IHuhSq3AJ5eI5OnqOPBNLWSHKh2a30DoXe8/edit?usp=sharing"",""ตรัง!M253"")"),2972.08)</f>
        <v>2972.08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IFERROR(__xludf.DUMMYFUNCTION("IMPORTRANGE(""https://docs.google.com/spreadsheets/d/1IYY_tgx_IHuhSq3AJ5eI5OnqOPBNLWSHKh2a30DoXe8/edit?usp=sharing"",""ตรัง!J255"")"),0)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IFERROR(__xludf.DUMMYFUNCTION("IMPORTRANGE(""https://docs.google.com/spreadsheets/d/1IYY_tgx_IHuhSq3AJ5eI5OnqOPBNLWSHKh2a30DoXe8/edit?usp=sharing"",""ตรัง!J256"")"),1)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IFERROR(__xludf.DUMMYFUNCTION("IMPORTRANGE(""https://docs.google.com/spreadsheets/d/1IYY_tgx_IHuhSq3AJ5eI5OnqOPBNLWSHKh2a30DoXe8/edit?usp=sharing"",""ตรัง!J257"")"),1)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IFERROR(__xludf.DUMMYFUNCTION("IMPORTRANGE(""https://docs.google.com/spreadsheets/d/1IYY_tgx_IHuhSq3AJ5eI5OnqOPBNLWSHKh2a30DoXe8/edit?usp=sharing"",""ตรัง!J258"")"),1)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IFERROR(__xludf.DUMMYFUNCTION("IMPORTRANGE(""https://docs.google.com/spreadsheets/d/1IYY_tgx_IHuhSq3AJ5eI5OnqOPBNLWSHKh2a30DoXe8/edit?usp=sharing"",""ตรัง!J166"")"),0)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IFERROR(__xludf.DUMMYFUNCTION("IMPORTRANGE(""https://docs.google.com/spreadsheets/d/1IYY_tgx_IHuhSq3AJ5eI5OnqOPBNLWSHKh2a30DoXe8/edit?usp=sharing"",""ตรัง!J166"")"),0)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IFERROR(__xludf.DUMMYFUNCTION("IMPORTRANGE(""https://docs.google.com/spreadsheets/d/1IYY_tgx_IHuhSq3AJ5eI5OnqOPBNLWSHKh2a30DoXe8/edit?usp=sharing"",""ตรัง!J166"")"),0)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IFERROR(__xludf.DUMMYFUNCTION("IMPORTRANGE(""https://docs.google.com/spreadsheets/d/1IYY_tgx_IHuhSq3AJ5eI5OnqOPBNLWSHKh2a30DoXe8/edit?usp=sharing"",""ตรัง!J166"")"),0)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IFERROR(__xludf.DUMMYFUNCTION("IMPORTRANGE(""https://docs.google.com/spreadsheets/d/1IYY_tgx_IHuhSq3AJ5eI5OnqOPBNLWSHKh2a30DoXe8/edit?usp=sharing"",""ตรัง!I263"")"),25)</f>
        <v>25</v>
      </c>
      <c r="J368" s="194">
        <f ca="1">IFERROR(__xludf.DUMMYFUNCTION("IMPORTRANGE(""https://docs.google.com/spreadsheets/d/1IYY_tgx_IHuhSq3AJ5eI5OnqOPBNLWSHKh2a30DoXe8/edit?usp=sharing"",""ตรัง!J263"")"),25)</f>
        <v>25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IFERROR(__xludf.DUMMYFUNCTION("IMPORTRANGE(""https://docs.google.com/spreadsheets/d/1IYY_tgx_IHuhSq3AJ5eI5OnqOPBNLWSHKh2a30DoXe8/edit?usp=sharing"",""ตรัง!I164"")"),0)</f>
        <v>0</v>
      </c>
      <c r="J369" s="210">
        <f ca="1">IFERROR(__xludf.DUMMYFUNCTION("IMPORTRANGE(""https://docs.google.com/spreadsheets/d/1IYY_tgx_IHuhSq3AJ5eI5OnqOPBNLWSHKh2a30DoXe8/edit?usp=sharing"",""ตรัง!J164"")"),0)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IFERROR(__xludf.DUMMYFUNCTION("IMPORTRANGE(""https://docs.google.com/spreadsheets/d/1IYY_tgx_IHuhSq3AJ5eI5OnqOPBNLWSHKh2a30DoXe8/edit?usp=sharing"",""ตรัง!I265"")"),25)</f>
        <v>25</v>
      </c>
      <c r="J370" s="210">
        <f ca="1">IFERROR(__xludf.DUMMYFUNCTION("IMPORTRANGE(""https://docs.google.com/spreadsheets/d/1IYY_tgx_IHuhSq3AJ5eI5OnqOPBNLWSHKh2a30DoXe8/edit?usp=sharing"",""ตรัง!J265"")"),25)</f>
        <v>25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IFERROR(__xludf.DUMMYFUNCTION("IMPORTRANGE(""https://docs.google.com/spreadsheets/d/1IYY_tgx_IHuhSq3AJ5eI5OnqOPBNLWSHKh2a30DoXe8/edit?usp=sharing"",""ตรัง!I164"")"),0)</f>
        <v>0</v>
      </c>
      <c r="J371" s="195">
        <f ca="1">IFERROR(__xludf.DUMMYFUNCTION("IMPORTRANGE(""https://docs.google.com/spreadsheets/d/1IYY_tgx_IHuhSq3AJ5eI5OnqOPBNLWSHKh2a30DoXe8/edit?usp=sharing"",""ตรัง!J164"")"),0)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IFERROR(__xludf.DUMMYFUNCTION("IMPORTRANGE(""https://docs.google.com/spreadsheets/d/1IYY_tgx_IHuhSq3AJ5eI5OnqOPBNLWSHKh2a30DoXe8/edit?usp=sharing"",""ตรัง!I267"")"),25)</f>
        <v>25</v>
      </c>
      <c r="J372" s="195">
        <f ca="1">IFERROR(__xludf.DUMMYFUNCTION("IMPORTRANGE(""https://docs.google.com/spreadsheets/d/1IYY_tgx_IHuhSq3AJ5eI5OnqOPBNLWSHKh2a30DoXe8/edit?usp=sharing"",""ตรัง!J267"")"),25)</f>
        <v>25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IFERROR(__xludf.DUMMYFUNCTION("IMPORTRANGE(""https://docs.google.com/spreadsheets/d/1IYY_tgx_IHuhSq3AJ5eI5OnqOPBNLWSHKh2a30DoXe8/edit?usp=sharing"",""ตรัง!I164"")"),0)</f>
        <v>0</v>
      </c>
      <c r="J373" s="210">
        <f ca="1">IFERROR(__xludf.DUMMYFUNCTION("IMPORTRANGE(""https://docs.google.com/spreadsheets/d/1IYY_tgx_IHuhSq3AJ5eI5OnqOPBNLWSHKh2a30DoXe8/edit?usp=sharing"",""ตรัง!J164"")"),0)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IFERROR(__xludf.DUMMYFUNCTION("IMPORTRANGE(""https://docs.google.com/spreadsheets/d/1IYY_tgx_IHuhSq3AJ5eI5OnqOPBNLWSHKh2a30DoXe8/edit?usp=sharing"",""ตรัง!I164"")"),0)</f>
        <v>0</v>
      </c>
      <c r="J374" s="194">
        <f ca="1">IFERROR(__xludf.DUMMYFUNCTION("IMPORTRANGE(""https://docs.google.com/spreadsheets/d/1IYY_tgx_IHuhSq3AJ5eI5OnqOPBNLWSHKh2a30DoXe8/edit?usp=sharing"",""ตรัง!J164"")"),0)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IFERROR(__xludf.DUMMYFUNCTION("IMPORTRANGE(""https://docs.google.com/spreadsheets/d/1IYY_tgx_IHuhSq3AJ5eI5OnqOPBNLWSHKh2a30DoXe8/edit?usp=sharing"",""ตรัง!I270"")"),70)</f>
        <v>70</v>
      </c>
      <c r="J375" s="194">
        <f ca="1">IFERROR(__xludf.DUMMYFUNCTION("IMPORTRANGE(""https://docs.google.com/spreadsheets/d/1IYY_tgx_IHuhSq3AJ5eI5OnqOPBNLWSHKh2a30DoXe8/edit?usp=sharing"",""ตรัง!J270"")"),0)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IFERROR(__xludf.DUMMYFUNCTION("IMPORTRANGE(""https://docs.google.com/spreadsheets/d/1IYY_tgx_IHuhSq3AJ5eI5OnqOPBNLWSHKh2a30DoXe8/edit?usp=sharing"",""ตรัง!I271"")"),0)</f>
        <v>0</v>
      </c>
      <c r="J376" s="195">
        <f ca="1">IFERROR(__xludf.DUMMYFUNCTION("IMPORTRANGE(""https://docs.google.com/spreadsheets/d/1IYY_tgx_IHuhSq3AJ5eI5OnqOPBNLWSHKh2a30DoXe8/edit?usp=sharing"",""ตรัง!J271"")"),0)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IFERROR(__xludf.DUMMYFUNCTION("IMPORTRANGE(""https://docs.google.com/spreadsheets/d/1IYY_tgx_IHuhSq3AJ5eI5OnqOPBNLWSHKh2a30DoXe8/edit?usp=sharing"",""ตรัง!I272"")"),70)</f>
        <v>70</v>
      </c>
      <c r="J377" s="210">
        <f ca="1">IFERROR(__xludf.DUMMYFUNCTION("IMPORTRANGE(""https://docs.google.com/spreadsheets/d/1IYY_tgx_IHuhSq3AJ5eI5OnqOPBNLWSHKh2a30DoXe8/edit?usp=sharing"",""ตรัง!J272"")"),0)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IFERROR(__xludf.DUMMYFUNCTION("IMPORTRANGE(""https://docs.google.com/spreadsheets/d/1IYY_tgx_IHuhSq3AJ5eI5OnqOPBNLWSHKh2a30DoXe8/edit?usp=sharing"",""ตรัง!J273"")"),0)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IFERROR(__xludf.DUMMYFUNCTION("IMPORTRANGE(""https://docs.google.com/spreadsheets/d/1IYY_tgx_IHuhSq3AJ5eI5OnqOPBNLWSHKh2a30DoXe8/edit?usp=sharing"",""ตรัง!J274"")"),0)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IFERROR(__xludf.DUMMYFUNCTION("IMPORTRANGE(""https://docs.google.com/spreadsheets/d/1IYY_tgx_IHuhSq3AJ5eI5OnqOPBNLWSHKh2a30DoXe8/edit?usp=sharing"",""ตรัง!I275"")"),300)</f>
        <v>300</v>
      </c>
      <c r="J380" s="377">
        <f ca="1">IFERROR(__xludf.DUMMYFUNCTION("IMPORTRANGE(""https://docs.google.com/spreadsheets/d/1IYY_tgx_IHuhSq3AJ5eI5OnqOPBNLWSHKh2a30DoXe8/edit?usp=sharing"",""ตรัง!J275"")"),0)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IFERROR(__xludf.DUMMYFUNCTION("IMPORTRANGE(""https://docs.google.com/spreadsheets/d/1IYY_tgx_IHuhSq3AJ5eI5OnqOPBNLWSHKh2a30DoXe8/edit?usp=sharing"",""ตรัง!L275"")"),293900)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IFERROR(__xludf.DUMMYFUNCTION("IMPORTRANGE(""https://docs.google.com/spreadsheets/d/1IYY_tgx_IHuhSq3AJ5eI5OnqOPBNLWSHKh2a30DoXe8/edit?usp=sharing"",""ตรัง!M275"")"),58108.3)</f>
        <v>58108.3</v>
      </c>
      <c r="O380" s="379">
        <f ca="1">+IF(L380&gt;0,N380*100/L380,0)</f>
        <v>19.771452875127594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IFERROR(__xludf.DUMMYFUNCTION("IMPORTRANGE(""https://docs.google.com/spreadsheets/d/1IYY_tgx_IHuhSq3AJ5eI5OnqOPBNLWSHKh2a30DoXe8/edit?usp=sharing"",""ตรัง!I276"")"),30)</f>
        <v>30</v>
      </c>
      <c r="J381" s="377">
        <f ca="1">IFERROR(__xludf.DUMMYFUNCTION("IMPORTRANGE(""https://docs.google.com/spreadsheets/d/1IYY_tgx_IHuhSq3AJ5eI5OnqOPBNLWSHKh2a30DoXe8/edit?usp=sharing"",""ตรัง!J276"")"),30)</f>
        <v>30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IFERROR(__xludf.DUMMYFUNCTION("IMPORTRANGE(""https://docs.google.com/spreadsheets/d/1IYY_tgx_IHuhSq3AJ5eI5OnqOPBNLWSHKh2a30DoXe8/edit?usp=sharing"",""ตรัง!L277"")"),0)</f>
        <v>0</v>
      </c>
      <c r="M382" s="168"/>
      <c r="N382" s="168">
        <f ca="1">IFERROR(__xludf.DUMMYFUNCTION("IMPORTRANGE(""https://docs.google.com/spreadsheets/d/1IYY_tgx_IHuhSq3AJ5eI5OnqOPBNLWSHKh2a30DoXe8/edit?usp=sharing"",""ตรัง!M277"")"),0)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IFERROR(__xludf.DUMMYFUNCTION("IMPORTRANGE(""https://docs.google.com/spreadsheets/d/1IYY_tgx_IHuhSq3AJ5eI5OnqOPBNLWSHKh2a30DoXe8/edit?usp=sharing"",""ตรัง!L278"")"),293900)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IFERROR(__xludf.DUMMYFUNCTION("IMPORTRANGE(""https://docs.google.com/spreadsheets/d/1IYY_tgx_IHuhSq3AJ5eI5OnqOPBNLWSHKh2a30DoXe8/edit?usp=sharing"",""ตรัง!M278"")"),58108.3)</f>
        <v>58108.3</v>
      </c>
      <c r="O383" s="169">
        <f t="shared" ca="1" si="109"/>
        <v>19.771452875127594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IFERROR(__xludf.DUMMYFUNCTION("IMPORTRANGE(""https://docs.google.com/spreadsheets/d/1IYY_tgx_IHuhSq3AJ5eI5OnqOPBNLWSHKh2a30DoXe8/edit?usp=sharing"",""ตรัง!L279"")"),0)</f>
        <v>0</v>
      </c>
      <c r="M384" s="175"/>
      <c r="N384" s="175">
        <f ca="1">IFERROR(__xludf.DUMMYFUNCTION("IMPORTRANGE(""https://docs.google.com/spreadsheets/d/1IYY_tgx_IHuhSq3AJ5eI5OnqOPBNLWSHKh2a30DoXe8/edit?usp=sharing"",""ตรัง!M279"")"),0)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IFERROR(__xludf.DUMMYFUNCTION("IMPORTRANGE(""https://docs.google.com/spreadsheets/d/1IYY_tgx_IHuhSq3AJ5eI5OnqOPBNLWSHKh2a30DoXe8/edit?usp=sharing"",""ตรัง!L280"")"),293900)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IFERROR(__xludf.DUMMYFUNCTION("IMPORTRANGE(""https://docs.google.com/spreadsheets/d/1IYY_tgx_IHuhSq3AJ5eI5OnqOPBNLWSHKh2a30DoXe8/edit?usp=sharing"",""ตรัง!M280"")"),58108.3)</f>
        <v>58108.3</v>
      </c>
      <c r="O385" s="175">
        <f t="shared" ca="1" si="109"/>
        <v>19.771452875127594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IFERROR(__xludf.DUMMYFUNCTION("IMPORTRANGE(""https://docs.google.com/spreadsheets/d/1IYY_tgx_IHuhSq3AJ5eI5OnqOPBNLWSHKh2a30DoXe8/edit?usp=sharing"",""ตรัง!M281"")"),56040)</f>
        <v>56040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IFERROR(__xludf.DUMMYFUNCTION("IMPORTRANGE(""https://docs.google.com/spreadsheets/d/1IYY_tgx_IHuhSq3AJ5eI5OnqOPBNLWSHKh2a30DoXe8/edit?usp=sharing"",""ตรัง!M282"")"),0)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IFERROR(__xludf.DUMMYFUNCTION("IMPORTRANGE(""https://docs.google.com/spreadsheets/d/1IYY_tgx_IHuhSq3AJ5eI5OnqOPBNLWSHKh2a30DoXe8/edit?usp=sharing"",""ตรัง!M283"")"),0)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IFERROR(__xludf.DUMMYFUNCTION("IMPORTRANGE(""https://docs.google.com/spreadsheets/d/1IYY_tgx_IHuhSq3AJ5eI5OnqOPBNLWSHKh2a30DoXe8/edit?usp=sharing"",""ตรัง!M284"")"),2068.3)</f>
        <v>2068.3000000000002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IFERROR(__xludf.DUMMYFUNCTION("IMPORTRANGE(""https://docs.google.com/spreadsheets/d/1IYY_tgx_IHuhSq3AJ5eI5OnqOPBNLWSHKh2a30DoXe8/edit?usp=sharing"",""ตรัง!J286"")"),0)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IFERROR(__xludf.DUMMYFUNCTION("IMPORTRANGE(""https://docs.google.com/spreadsheets/d/1IYY_tgx_IHuhSq3AJ5eI5OnqOPBNLWSHKh2a30DoXe8/edit?usp=sharing"",""ตรัง!J287"")"),1)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IFERROR(__xludf.DUMMYFUNCTION("IMPORTRANGE(""https://docs.google.com/spreadsheets/d/1IYY_tgx_IHuhSq3AJ5eI5OnqOPBNLWSHKh2a30DoXe8/edit?usp=sharing"",""ตรัง!J288"")"),1)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IFERROR(__xludf.DUMMYFUNCTION("IMPORTRANGE(""https://docs.google.com/spreadsheets/d/1IYY_tgx_IHuhSq3AJ5eI5OnqOPBNLWSHKh2a30DoXe8/edit?usp=sharing"",""ตรัง!J289"")"),1)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IFERROR(__xludf.DUMMYFUNCTION("IMPORTRANGE(""https://docs.google.com/spreadsheets/d/1IYY_tgx_IHuhSq3AJ5eI5OnqOPBNLWSHKh2a30DoXe8/edit?usp=sharing"",""ตรัง!I291"")"),30)</f>
        <v>30</v>
      </c>
      <c r="J396" s="204">
        <f ca="1">IFERROR(__xludf.DUMMYFUNCTION("IMPORTRANGE(""https://docs.google.com/spreadsheets/d/1IYY_tgx_IHuhSq3AJ5eI5OnqOPBNLWSHKh2a30DoXe8/edit?usp=sharing"",""ตรัง!J291"")"),30)</f>
        <v>30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IFERROR(__xludf.DUMMYFUNCTION("IMPORTRANGE(""https://docs.google.com/spreadsheets/d/1IYY_tgx_IHuhSq3AJ5eI5OnqOPBNLWSHKh2a30DoXe8/edit?usp=sharing"",""ตรัง!I292"")"),300)</f>
        <v>300</v>
      </c>
      <c r="J397" s="204">
        <f ca="1">IFERROR(__xludf.DUMMYFUNCTION("IMPORTRANGE(""https://docs.google.com/spreadsheets/d/1IYY_tgx_IHuhSq3AJ5eI5OnqOPBNLWSHKh2a30DoXe8/edit?usp=sharing"",""ตรัง!J292"")"),0)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IFERROR(__xludf.DUMMYFUNCTION("IMPORTRANGE(""https://docs.google.com/spreadsheets/d/1IYY_tgx_IHuhSq3AJ5eI5OnqOPBNLWSHKh2a30DoXe8/edit?usp=sharing"",""ตรัง!I293"")"),30)</f>
        <v>30</v>
      </c>
      <c r="J398" s="204">
        <f ca="1">IFERROR(__xludf.DUMMYFUNCTION("IMPORTRANGE(""https://docs.google.com/spreadsheets/d/1IYY_tgx_IHuhSq3AJ5eI5OnqOPBNLWSHKh2a30DoXe8/edit?usp=sharing"",""ตรัง!J293"")"),0)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IFERROR(__xludf.DUMMYFUNCTION("IMPORTRANGE(""https://docs.google.com/spreadsheets/d/1IYY_tgx_IHuhSq3AJ5eI5OnqOPBNLWSHKh2a30DoXe8/edit?usp=sharing"",""ตรัง!J294"")"),0)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IFERROR(__xludf.DUMMYFUNCTION("IMPORTRANGE(""https://docs.google.com/spreadsheets/d/1IYY_tgx_IHuhSq3AJ5eI5OnqOPBNLWSHKh2a30DoXe8/edit?usp=sharing"",""ตรัง!J295"")"),0)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IFERROR(__xludf.DUMMYFUNCTION("IMPORTRANGE(""https://docs.google.com/spreadsheets/d/1IYY_tgx_IHuhSq3AJ5eI5OnqOPBNLWSHKh2a30DoXe8/edit?usp=sharing"",""ตรัง!I296"")"),105)</f>
        <v>105</v>
      </c>
      <c r="J401" s="377">
        <f ca="1">IFERROR(__xludf.DUMMYFUNCTION("IMPORTRANGE(""https://docs.google.com/spreadsheets/d/1IYY_tgx_IHuhSq3AJ5eI5OnqOPBNLWSHKh2a30DoXe8/edit?usp=sharing"",""ตรัง!J296"")"),0)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IFERROR(__xludf.DUMMYFUNCTION("IMPORTRANGE(""https://docs.google.com/spreadsheets/d/1IYY_tgx_IHuhSq3AJ5eI5OnqOPBNLWSHKh2a30DoXe8/edit?usp=sharing"",""ตรัง!L296"")"),131810)</f>
        <v>131810</v>
      </c>
      <c r="M401" s="379"/>
      <c r="N401" s="379">
        <f ca="1">IFERROR(__xludf.DUMMYFUNCTION("IMPORTRANGE(""https://docs.google.com/spreadsheets/d/1IYY_tgx_IHuhSq3AJ5eI5OnqOPBNLWSHKh2a30DoXe8/edit?usp=sharing"",""ตรัง!M296"")"),67186.88)</f>
        <v>67186.880000000005</v>
      </c>
      <c r="O401" s="379">
        <f ca="1">+IF(L401&gt;0,N401*100/L401,0)</f>
        <v>50.972521053030874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IFERROR(__xludf.DUMMYFUNCTION("IMPORTRANGE(""https://docs.google.com/spreadsheets/d/1IYY_tgx_IHuhSq3AJ5eI5OnqOPBNLWSHKh2a30DoXe8/edit?usp=sharing"",""ตรัง!I297"")"),35)</f>
        <v>35</v>
      </c>
      <c r="J402" s="377">
        <f ca="1">IFERROR(__xludf.DUMMYFUNCTION("IMPORTRANGE(""https://docs.google.com/spreadsheets/d/1IYY_tgx_IHuhSq3AJ5eI5OnqOPBNLWSHKh2a30DoXe8/edit?usp=sharing"",""ตรัง!J297"")"),35)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IFERROR(__xludf.DUMMYFUNCTION("IMPORTRANGE(""https://docs.google.com/spreadsheets/d/1IYY_tgx_IHuhSq3AJ5eI5OnqOPBNLWSHKh2a30DoXe8/edit?usp=sharing"",""ตรัง!L298"")"),0)</f>
        <v>0</v>
      </c>
      <c r="M403" s="168"/>
      <c r="N403" s="175">
        <f ca="1">IFERROR(__xludf.DUMMYFUNCTION("IMPORTRANGE(""https://docs.google.com/spreadsheets/d/1IYY_tgx_IHuhSq3AJ5eI5OnqOPBNLWSHKh2a30DoXe8/edit?usp=sharing"",""ตรัง!M298"")"),0)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IFERROR(__xludf.DUMMYFUNCTION("IMPORTRANGE(""https://docs.google.com/spreadsheets/d/1IYY_tgx_IHuhSq3AJ5eI5OnqOPBNLWSHKh2a30DoXe8/edit?usp=sharing"",""ตรัง!L299"")"),131810)</f>
        <v>131810</v>
      </c>
      <c r="M404" s="169"/>
      <c r="N404" s="175">
        <f ca="1">IFERROR(__xludf.DUMMYFUNCTION("IMPORTRANGE(""https://docs.google.com/spreadsheets/d/1IYY_tgx_IHuhSq3AJ5eI5OnqOPBNLWSHKh2a30DoXe8/edit?usp=sharing"",""ตรัง!M299"")"),67186.88)</f>
        <v>67186.880000000005</v>
      </c>
      <c r="O404" s="175">
        <f t="shared" ca="1" si="112"/>
        <v>50.972521053030874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IFERROR(__xludf.DUMMYFUNCTION("IMPORTRANGE(""https://docs.google.com/spreadsheets/d/1IYY_tgx_IHuhSq3AJ5eI5OnqOPBNLWSHKh2a30DoXe8/edit?usp=sharing"",""ตรัง!L300"")"),0)</f>
        <v>0</v>
      </c>
      <c r="M405" s="175"/>
      <c r="N405" s="175">
        <f ca="1">IFERROR(__xludf.DUMMYFUNCTION("IMPORTRANGE(""https://docs.google.com/spreadsheets/d/1IYY_tgx_IHuhSq3AJ5eI5OnqOPBNLWSHKh2a30DoXe8/edit?usp=sharing"",""ตรัง!M300"")"),0)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IFERROR(__xludf.DUMMYFUNCTION("IMPORTRANGE(""https://docs.google.com/spreadsheets/d/1IYY_tgx_IHuhSq3AJ5eI5OnqOPBNLWSHKh2a30DoXe8/edit?usp=sharing"",""ตรัง!L301"")"),131810)</f>
        <v>131810</v>
      </c>
      <c r="M406" s="175"/>
      <c r="N406" s="175">
        <f ca="1">IFERROR(__xludf.DUMMYFUNCTION("IMPORTRANGE(""https://docs.google.com/spreadsheets/d/1IYY_tgx_IHuhSq3AJ5eI5OnqOPBNLWSHKh2a30DoXe8/edit?usp=sharing"",""ตรัง!M301"")"),67186.88)</f>
        <v>67186.880000000005</v>
      </c>
      <c r="O406" s="175">
        <f t="shared" ca="1" si="112"/>
        <v>50.972521053030874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IFERROR(__xludf.DUMMYFUNCTION("IMPORTRANGE(""https://docs.google.com/spreadsheets/d/1IYY_tgx_IHuhSq3AJ5eI5OnqOPBNLWSHKh2a30DoXe8/edit?usp=sharing"",""ตรัง!M302"")"),64184.08)</f>
        <v>64184.08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IFERROR(__xludf.DUMMYFUNCTION("IMPORTRANGE(""https://docs.google.com/spreadsheets/d/1IYY_tgx_IHuhSq3AJ5eI5OnqOPBNLWSHKh2a30DoXe8/edit?usp=sharing"",""ตรัง!M303"")"),0)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IFERROR(__xludf.DUMMYFUNCTION("IMPORTRANGE(""https://docs.google.com/spreadsheets/d/1IYY_tgx_IHuhSq3AJ5eI5OnqOPBNLWSHKh2a30DoXe8/edit?usp=sharing"",""ตรัง!M304"")"),0)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IFERROR(__xludf.DUMMYFUNCTION("IMPORTRANGE(""https://docs.google.com/spreadsheets/d/1IYY_tgx_IHuhSq3AJ5eI5OnqOPBNLWSHKh2a30DoXe8/edit?usp=sharing"",""ตรัง!M305"")"),3002.8)</f>
        <v>3002.8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IFERROR(__xludf.DUMMYFUNCTION("IMPORTRANGE(""https://docs.google.com/spreadsheets/d/1IYY_tgx_IHuhSq3AJ5eI5OnqOPBNLWSHKh2a30DoXe8/edit?usp=sharing"",""ตรัง!J307"")"),0)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IFERROR(__xludf.DUMMYFUNCTION("IMPORTRANGE(""https://docs.google.com/spreadsheets/d/1IYY_tgx_IHuhSq3AJ5eI5OnqOPBNLWSHKh2a30DoXe8/edit?usp=sharing"",""ตรัง!J308"")"),1)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IFERROR(__xludf.DUMMYFUNCTION("IMPORTRANGE(""https://docs.google.com/spreadsheets/d/1IYY_tgx_IHuhSq3AJ5eI5OnqOPBNLWSHKh2a30DoXe8/edit?usp=sharing"",""ตรัง!J309"")"),1)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IFERROR(__xludf.DUMMYFUNCTION("IMPORTRANGE(""https://docs.google.com/spreadsheets/d/1IYY_tgx_IHuhSq3AJ5eI5OnqOPBNLWSHKh2a30DoXe8/edit?usp=sharing"",""ตรัง!J310"")"),1)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IFERROR(__xludf.DUMMYFUNCTION("IMPORTRANGE(""https://docs.google.com/spreadsheets/d/1IYY_tgx_IHuhSq3AJ5eI5OnqOPBNLWSHKh2a30DoXe8/edit?usp=sharing"",""ตรัง!I311"")"),35)</f>
        <v>35</v>
      </c>
      <c r="J416" s="207">
        <f ca="1">IFERROR(__xludf.DUMMYFUNCTION("IMPORTRANGE(""https://docs.google.com/spreadsheets/d/1IYY_tgx_IHuhSq3AJ5eI5OnqOPBNLWSHKh2a30DoXe8/edit?usp=sharing"",""ตรัง!J311"")"),35)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IFERROR(__xludf.DUMMYFUNCTION("IMPORTRANGE(""https://docs.google.com/spreadsheets/d/1IYY_tgx_IHuhSq3AJ5eI5OnqOPBNLWSHKh2a30DoXe8/edit?usp=sharing"",""ตรัง!I312"")"),10)</f>
        <v>10</v>
      </c>
      <c r="J417" s="398">
        <f ca="1">IFERROR(__xludf.DUMMYFUNCTION("IMPORTRANGE(""https://docs.google.com/spreadsheets/d/1IYY_tgx_IHuhSq3AJ5eI5OnqOPBNLWSHKh2a30DoXe8/edit?usp=sharing"",""ตรัง!J312"")"),10)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IFERROR(__xludf.DUMMYFUNCTION("IMPORTRANGE(""https://docs.google.com/spreadsheets/d/1IYY_tgx_IHuhSq3AJ5eI5OnqOPBNLWSHKh2a30DoXe8/edit?usp=sharing"",""ตรัง!I313"")"),30)</f>
        <v>30</v>
      </c>
      <c r="J418" s="399">
        <f ca="1">IFERROR(__xludf.DUMMYFUNCTION("IMPORTRANGE(""https://docs.google.com/spreadsheets/d/1IYY_tgx_IHuhSq3AJ5eI5OnqOPBNLWSHKh2a30DoXe8/edit?usp=sharing"",""ตรัง!J313"")"),0)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IFERROR(__xludf.DUMMYFUNCTION("IMPORTRANGE(""https://docs.google.com/spreadsheets/d/1IYY_tgx_IHuhSq3AJ5eI5OnqOPBNLWSHKh2a30DoXe8/edit?usp=sharing"",""ตรัง!I314"")"),10)</f>
        <v>10</v>
      </c>
      <c r="J419" s="400">
        <f ca="1">IFERROR(__xludf.DUMMYFUNCTION("IMPORTRANGE(""https://docs.google.com/spreadsheets/d/1IYY_tgx_IHuhSq3AJ5eI5OnqOPBNLWSHKh2a30DoXe8/edit?usp=sharing"",""ตรัง!J314"")"),10)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IFERROR(__xludf.DUMMYFUNCTION("IMPORTRANGE(""https://docs.google.com/spreadsheets/d/1IYY_tgx_IHuhSq3AJ5eI5OnqOPBNLWSHKh2a30DoXe8/edit?usp=sharing"",""ตรัง!I315"")"),10)</f>
        <v>10</v>
      </c>
      <c r="J420" s="400">
        <f ca="1">IFERROR(__xludf.DUMMYFUNCTION("IMPORTRANGE(""https://docs.google.com/spreadsheets/d/1IYY_tgx_IHuhSq3AJ5eI5OnqOPBNLWSHKh2a30DoXe8/edit?usp=sharing"",""ตรัง!J315"")"),10)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IFERROR(__xludf.DUMMYFUNCTION("IMPORTRANGE(""https://docs.google.com/spreadsheets/d/1IYY_tgx_IHuhSq3AJ5eI5OnqOPBNLWSHKh2a30DoXe8/edit?usp=sharing"",""ตรัง!I316"")"),15)</f>
        <v>15</v>
      </c>
      <c r="J421" s="398">
        <f ca="1">IFERROR(__xludf.DUMMYFUNCTION("IMPORTRANGE(""https://docs.google.com/spreadsheets/d/1IYY_tgx_IHuhSq3AJ5eI5OnqOPBNLWSHKh2a30DoXe8/edit?usp=sharing"",""ตรัง!J316"")"),15)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IFERROR(__xludf.DUMMYFUNCTION("IMPORTRANGE(""https://docs.google.com/spreadsheets/d/1IYY_tgx_IHuhSq3AJ5eI5OnqOPBNLWSHKh2a30DoXe8/edit?usp=sharing"",""ตรัง!I317"")"),45)</f>
        <v>45</v>
      </c>
      <c r="J422" s="399">
        <f ca="1">IFERROR(__xludf.DUMMYFUNCTION("IMPORTRANGE(""https://docs.google.com/spreadsheets/d/1IYY_tgx_IHuhSq3AJ5eI5OnqOPBNLWSHKh2a30DoXe8/edit?usp=sharing"",""ตรัง!J317"")"),0)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IFERROR(__xludf.DUMMYFUNCTION("IMPORTRANGE(""https://docs.google.com/spreadsheets/d/1IYY_tgx_IHuhSq3AJ5eI5OnqOPBNLWSHKh2a30DoXe8/edit?usp=sharing"",""ตรัง!I318"")"),15)</f>
        <v>15</v>
      </c>
      <c r="J423" s="400">
        <f ca="1">IFERROR(__xludf.DUMMYFUNCTION("IMPORTRANGE(""https://docs.google.com/spreadsheets/d/1IYY_tgx_IHuhSq3AJ5eI5OnqOPBNLWSHKh2a30DoXe8/edit?usp=sharing"",""ตรัง!J318"")"),15)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IFERROR(__xludf.DUMMYFUNCTION("IMPORTRANGE(""https://docs.google.com/spreadsheets/d/1IYY_tgx_IHuhSq3AJ5eI5OnqOPBNLWSHKh2a30DoXe8/edit?usp=sharing"",""ตรัง!I319"")"),15)</f>
        <v>15</v>
      </c>
      <c r="J424" s="400">
        <f ca="1">IFERROR(__xludf.DUMMYFUNCTION("IMPORTRANGE(""https://docs.google.com/spreadsheets/d/1IYY_tgx_IHuhSq3AJ5eI5OnqOPBNLWSHKh2a30DoXe8/edit?usp=sharing"",""ตรัง!J319"")"),15)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IFERROR(__xludf.DUMMYFUNCTION("IMPORTRANGE(""https://docs.google.com/spreadsheets/d/1IYY_tgx_IHuhSq3AJ5eI5OnqOPBNLWSHKh2a30DoXe8/edit?usp=sharing"",""ตรัง!I320"")"),15)</f>
        <v>15</v>
      </c>
      <c r="J425" s="400">
        <f ca="1">IFERROR(__xludf.DUMMYFUNCTION("IMPORTRANGE(""https://docs.google.com/spreadsheets/d/1IYY_tgx_IHuhSq3AJ5eI5OnqOPBNLWSHKh2a30DoXe8/edit?usp=sharing"",""ตรัง!J320"")"),15)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IFERROR(__xludf.DUMMYFUNCTION("IMPORTRANGE(""https://docs.google.com/spreadsheets/d/1IYY_tgx_IHuhSq3AJ5eI5OnqOPBNLWSHKh2a30DoXe8/edit?usp=sharing"",""ตรัง!I321"")"),10)</f>
        <v>10</v>
      </c>
      <c r="J426" s="398">
        <f ca="1">IFERROR(__xludf.DUMMYFUNCTION("IMPORTRANGE(""https://docs.google.com/spreadsheets/d/1IYY_tgx_IHuhSq3AJ5eI5OnqOPBNLWSHKh2a30DoXe8/edit?usp=sharing"",""ตรัง!J321"")"),10)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IFERROR(__xludf.DUMMYFUNCTION("IMPORTRANGE(""https://docs.google.com/spreadsheets/d/1IYY_tgx_IHuhSq3AJ5eI5OnqOPBNLWSHKh2a30DoXe8/edit?usp=sharing"",""ตรัง!I322"")"),30)</f>
        <v>30</v>
      </c>
      <c r="J427" s="399">
        <f ca="1">IFERROR(__xludf.DUMMYFUNCTION("IMPORTRANGE(""https://docs.google.com/spreadsheets/d/1IYY_tgx_IHuhSq3AJ5eI5OnqOPBNLWSHKh2a30DoXe8/edit?usp=sharing"",""ตรัง!J322"")"),0)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IFERROR(__xludf.DUMMYFUNCTION("IMPORTRANGE(""https://docs.google.com/spreadsheets/d/1IYY_tgx_IHuhSq3AJ5eI5OnqOPBNLWSHKh2a30DoXe8/edit?usp=sharing"",""ตรัง!I323"")"),10)</f>
        <v>10</v>
      </c>
      <c r="J428" s="400">
        <f ca="1">IFERROR(__xludf.DUMMYFUNCTION("IMPORTRANGE(""https://docs.google.com/spreadsheets/d/1IYY_tgx_IHuhSq3AJ5eI5OnqOPBNLWSHKh2a30DoXe8/edit?usp=sharing"",""ตรัง!J323"")"),10)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IFERROR(__xludf.DUMMYFUNCTION("IMPORTRANGE(""https://docs.google.com/spreadsheets/d/1IYY_tgx_IHuhSq3AJ5eI5OnqOPBNLWSHKh2a30DoXe8/edit?usp=sharing"",""ตรัง!I324"")"),10)</f>
        <v>10</v>
      </c>
      <c r="J429" s="400">
        <f ca="1">IFERROR(__xludf.DUMMYFUNCTION("IMPORTRANGE(""https://docs.google.com/spreadsheets/d/1IYY_tgx_IHuhSq3AJ5eI5OnqOPBNLWSHKh2a30DoXe8/edit?usp=sharing"",""ตรัง!J324"")"),10)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IFERROR(__xludf.DUMMYFUNCTION("IMPORTRANGE(""https://docs.google.com/spreadsheets/d/1IYY_tgx_IHuhSq3AJ5eI5OnqOPBNLWSHKh2a30DoXe8/edit?usp=sharing"",""ตรัง!I325"")"),25)</f>
        <v>25</v>
      </c>
      <c r="J430" s="398">
        <f ca="1">IFERROR(__xludf.DUMMYFUNCTION("IMPORTRANGE(""https://docs.google.com/spreadsheets/d/1IYY_tgx_IHuhSq3AJ5eI5OnqOPBNLWSHKh2a30DoXe8/edit?usp=sharing"",""ตรัง!J325"")"),0)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IFERROR(__xludf.DUMMYFUNCTION("IMPORTRANGE(""https://docs.google.com/spreadsheets/d/1IYY_tgx_IHuhSq3AJ5eI5OnqOPBNLWSHKh2a30DoXe8/edit?usp=sharing"",""ตรัง!I326"")"),10)</f>
        <v>10</v>
      </c>
      <c r="J431" s="400">
        <f ca="1">IFERROR(__xludf.DUMMYFUNCTION("IMPORTRANGE(""https://docs.google.com/spreadsheets/d/1IYY_tgx_IHuhSq3AJ5eI5OnqOPBNLWSHKh2a30DoXe8/edit?usp=sharing"",""ตรัง!J326"")"),0)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IFERROR(__xludf.DUMMYFUNCTION("IMPORTRANGE(""https://docs.google.com/spreadsheets/d/1IYY_tgx_IHuhSq3AJ5eI5OnqOPBNLWSHKh2a30DoXe8/edit?usp=sharing"",""ตรัง!I327"")"),15)</f>
        <v>15</v>
      </c>
      <c r="J432" s="400">
        <f ca="1">IFERROR(__xludf.DUMMYFUNCTION("IMPORTRANGE(""https://docs.google.com/spreadsheets/d/1IYY_tgx_IHuhSq3AJ5eI5OnqOPBNLWSHKh2a30DoXe8/edit?usp=sharing"",""ตรัง!J327"")"),0)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IFERROR(__xludf.DUMMYFUNCTION("IMPORTRANGE(""https://docs.google.com/spreadsheets/d/1IYY_tgx_IHuhSq3AJ5eI5OnqOPBNLWSHKh2a30DoXe8/edit?usp=sharing"",""ตรัง!J328"")"),0)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IFERROR(__xludf.DUMMYFUNCTION("IMPORTRANGE(""https://docs.google.com/spreadsheets/d/1IYY_tgx_IHuhSq3AJ5eI5OnqOPBNLWSHKh2a30DoXe8/edit?usp=sharing"",""ตรัง!J329"")"),0)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IFERROR(__xludf.DUMMYFUNCTION("IMPORTRANGE(""https://docs.google.com/spreadsheets/d/1IYY_tgx_IHuhSq3AJ5eI5OnqOPBNLWSHKh2a30DoXe8/edit?usp=sharing"",""ตรัง!I330"")"),15)</f>
        <v>15</v>
      </c>
      <c r="J435" s="416">
        <f ca="1">IFERROR(__xludf.DUMMYFUNCTION("IMPORTRANGE(""https://docs.google.com/spreadsheets/d/1IYY_tgx_IHuhSq3AJ5eI5OnqOPBNLWSHKh2a30DoXe8/edit?usp=sharing"",""ตรัง!J330"")"),15)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IFERROR(__xludf.DUMMYFUNCTION("IMPORTRANGE(""https://docs.google.com/spreadsheets/d/1IYY_tgx_IHuhSq3AJ5eI5OnqOPBNLWSHKh2a30DoXe8/edit?usp=sharing"",""ตรัง!L330"")"),88000)</f>
        <v>88000</v>
      </c>
      <c r="M435" s="418"/>
      <c r="N435" s="418">
        <f ca="1">IFERROR(__xludf.DUMMYFUNCTION("IMPORTRANGE(""https://docs.google.com/spreadsheets/d/1IYY_tgx_IHuhSq3AJ5eI5OnqOPBNLWSHKh2a30DoXe8/edit?usp=sharing"",""ตรัง!M330"")"),40999.0499999999)</f>
        <v>40999.049999999901</v>
      </c>
      <c r="O435" s="418">
        <f t="shared" ref="O435:O439" ca="1" si="114">+IF(L435&gt;0,N435*100/L435,0)</f>
        <v>46.589829545454435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IFERROR(__xludf.DUMMYFUNCTION("IMPORTRANGE(""https://docs.google.com/spreadsheets/d/1IYY_tgx_IHuhSq3AJ5eI5OnqOPBNLWSHKh2a30DoXe8/edit?usp=sharing"",""ตรัง!L331"")"),0)</f>
        <v>0</v>
      </c>
      <c r="M436" s="168"/>
      <c r="N436" s="175">
        <f ca="1">IFERROR(__xludf.DUMMYFUNCTION("IMPORTRANGE(""https://docs.google.com/spreadsheets/d/1IYY_tgx_IHuhSq3AJ5eI5OnqOPBNLWSHKh2a30DoXe8/edit?usp=sharing"",""ตรัง!M331"")"),0)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IFERROR(__xludf.DUMMYFUNCTION("IMPORTRANGE(""https://docs.google.com/spreadsheets/d/1IYY_tgx_IHuhSq3AJ5eI5OnqOPBNLWSHKh2a30DoXe8/edit?usp=sharing"",""ตรัง!L332"")"),88000)</f>
        <v>88000</v>
      </c>
      <c r="M437" s="169"/>
      <c r="N437" s="175">
        <f ca="1">IFERROR(__xludf.DUMMYFUNCTION("IMPORTRANGE(""https://docs.google.com/spreadsheets/d/1IYY_tgx_IHuhSq3AJ5eI5OnqOPBNLWSHKh2a30DoXe8/edit?usp=sharing"",""ตรัง!M332"")"),40999.0499999999)</f>
        <v>40999.049999999901</v>
      </c>
      <c r="O437" s="175">
        <f t="shared" ca="1" si="114"/>
        <v>46.589829545454435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IFERROR(__xludf.DUMMYFUNCTION("IMPORTRANGE(""https://docs.google.com/spreadsheets/d/1IYY_tgx_IHuhSq3AJ5eI5OnqOPBNLWSHKh2a30DoXe8/edit?usp=sharing"",""ตรัง!L333"")"),0)</f>
        <v>0</v>
      </c>
      <c r="M438" s="175"/>
      <c r="N438" s="175">
        <f ca="1">IFERROR(__xludf.DUMMYFUNCTION("IMPORTRANGE(""https://docs.google.com/spreadsheets/d/1IYY_tgx_IHuhSq3AJ5eI5OnqOPBNLWSHKh2a30DoXe8/edit?usp=sharing"",""ตรัง!M333"")"),0)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IFERROR(__xludf.DUMMYFUNCTION("IMPORTRANGE(""https://docs.google.com/spreadsheets/d/1IYY_tgx_IHuhSq3AJ5eI5OnqOPBNLWSHKh2a30DoXe8/edit?usp=sharing"",""ตรัง!L334"")"),88000)</f>
        <v>88000</v>
      </c>
      <c r="M439" s="175"/>
      <c r="N439" s="175">
        <f ca="1">IFERROR(__xludf.DUMMYFUNCTION("IMPORTRANGE(""https://docs.google.com/spreadsheets/d/1IYY_tgx_IHuhSq3AJ5eI5OnqOPBNLWSHKh2a30DoXe8/edit?usp=sharing"",""ตรัง!M334"")"),40999.0499999999)</f>
        <v>40999.049999999901</v>
      </c>
      <c r="O439" s="175">
        <f t="shared" ca="1" si="114"/>
        <v>46.589829545454435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IFERROR(__xludf.DUMMYFUNCTION("IMPORTRANGE(""https://docs.google.com/spreadsheets/d/1IYY_tgx_IHuhSq3AJ5eI5OnqOPBNLWSHKh2a30DoXe8/edit?usp=sharing"",""ตรัง!M335"")"),37129.27)</f>
        <v>37129.269999999997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IFERROR(__xludf.DUMMYFUNCTION("IMPORTRANGE(""https://docs.google.com/spreadsheets/d/1IYY_tgx_IHuhSq3AJ5eI5OnqOPBNLWSHKh2a30DoXe8/edit?usp=sharing"",""ตรัง!M336"")"),0)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IFERROR(__xludf.DUMMYFUNCTION("IMPORTRANGE(""https://docs.google.com/spreadsheets/d/1IYY_tgx_IHuhSq3AJ5eI5OnqOPBNLWSHKh2a30DoXe8/edit?usp=sharing"",""ตรัง!M337"")"),0)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IFERROR(__xludf.DUMMYFUNCTION("IMPORTRANGE(""https://docs.google.com/spreadsheets/d/1IYY_tgx_IHuhSq3AJ5eI5OnqOPBNLWSHKh2a30DoXe8/edit?usp=sharing"",""ตรัง!M338"")"),3869.78)</f>
        <v>3869.78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IFERROR(__xludf.DUMMYFUNCTION("IMPORTRANGE(""https://docs.google.com/spreadsheets/d/1IYY_tgx_IHuhSq3AJ5eI5OnqOPBNLWSHKh2a30DoXe8/edit?usp=sharing"",""ตรัง!J340"")"),0)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IFERROR(__xludf.DUMMYFUNCTION("IMPORTRANGE(""https://docs.google.com/spreadsheets/d/1IYY_tgx_IHuhSq3AJ5eI5OnqOPBNLWSHKh2a30DoXe8/edit?usp=sharing"",""ตรัง!J341"")"),1)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IFERROR(__xludf.DUMMYFUNCTION("IMPORTRANGE(""https://docs.google.com/spreadsheets/d/1IYY_tgx_IHuhSq3AJ5eI5OnqOPBNLWSHKh2a30DoXe8/edit?usp=sharing"",""ตรัง!J342"")"),1)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IFERROR(__xludf.DUMMYFUNCTION("IMPORTRANGE(""https://docs.google.com/spreadsheets/d/1IYY_tgx_IHuhSq3AJ5eI5OnqOPBNLWSHKh2a30DoXe8/edit?usp=sharing"",""ตรัง!J343"")"),1)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IFERROR(__xludf.DUMMYFUNCTION("IMPORTRANGE(""https://docs.google.com/spreadsheets/d/1IYY_tgx_IHuhSq3AJ5eI5OnqOPBNLWSHKh2a30DoXe8/edit?usp=sharing"",""ตรัง!I344"")"),15)</f>
        <v>15</v>
      </c>
      <c r="J449" s="207">
        <f ca="1">IFERROR(__xludf.DUMMYFUNCTION("IMPORTRANGE(""https://docs.google.com/spreadsheets/d/1IYY_tgx_IHuhSq3AJ5eI5OnqOPBNLWSHKh2a30DoXe8/edit?usp=sharing"",""ตรัง!J344"")"),15)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IFERROR(__xludf.DUMMYFUNCTION("IMPORTRANGE(""https://docs.google.com/spreadsheets/d/1IYY_tgx_IHuhSq3AJ5eI5OnqOPBNLWSHKh2a30DoXe8/edit?usp=sharing"",""ตรัง!I345"")"),15)</f>
        <v>15</v>
      </c>
      <c r="J450" s="195">
        <f ca="1">IFERROR(__xludf.DUMMYFUNCTION("IMPORTRANGE(""https://docs.google.com/spreadsheets/d/1IYY_tgx_IHuhSq3AJ5eI5OnqOPBNLWSHKh2a30DoXe8/edit?usp=sharing"",""ตรัง!J345"")"),15)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IFERROR(__xludf.DUMMYFUNCTION("IMPORTRANGE(""https://docs.google.com/spreadsheets/d/1IYY_tgx_IHuhSq3AJ5eI5OnqOPBNLWSHKh2a30DoXe8/edit?usp=sharing"",""ตรัง!I346"")"),0)</f>
        <v>0</v>
      </c>
      <c r="J451" s="194">
        <f ca="1">IFERROR(__xludf.DUMMYFUNCTION("IMPORTRANGE(""https://docs.google.com/spreadsheets/d/1IYY_tgx_IHuhSq3AJ5eI5OnqOPBNLWSHKh2a30DoXe8/edit?usp=sharing"",""ตรัง!J346"")"),0)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IFERROR(__xludf.DUMMYFUNCTION("IMPORTRANGE(""https://docs.google.com/spreadsheets/d/1IYY_tgx_IHuhSq3AJ5eI5OnqOPBNLWSHKh2a30DoXe8/edit?usp=sharing"",""ตรัง!I347"")"),0)</f>
        <v>0</v>
      </c>
      <c r="J452" s="194">
        <f ca="1">IFERROR(__xludf.DUMMYFUNCTION("IMPORTRANGE(""https://docs.google.com/spreadsheets/d/1IYY_tgx_IHuhSq3AJ5eI5OnqOPBNLWSHKh2a30DoXe8/edit?usp=sharing"",""ตรัง!J347"")"),0)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IFERROR(__xludf.DUMMYFUNCTION("IMPORTRANGE(""https://docs.google.com/spreadsheets/d/1IYY_tgx_IHuhSq3AJ5eI5OnqOPBNLWSHKh2a30DoXe8/edit?usp=sharing"",""ตรัง!J348"")"),0)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IFERROR(__xludf.DUMMYFUNCTION("IMPORTRANGE(""https://docs.google.com/spreadsheets/d/1IYY_tgx_IHuhSq3AJ5eI5OnqOPBNLWSHKh2a30DoXe8/edit?usp=sharing"",""ตรัง!J349"")"),0)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IFERROR(__xludf.DUMMYFUNCTION("IMPORTRANGE(""https://docs.google.com/spreadsheets/d/1IYY_tgx_IHuhSq3AJ5eI5OnqOPBNLWSHKh2a30DoXe8/edit?usp=sharing"",""ตรัง!I350"")"),39755)</f>
        <v>39755</v>
      </c>
      <c r="J455" s="377">
        <f ca="1">IFERROR(__xludf.DUMMYFUNCTION("IMPORTRANGE(""https://docs.google.com/spreadsheets/d/1IYY_tgx_IHuhSq3AJ5eI5OnqOPBNLWSHKh2a30DoXe8/edit?usp=sharing"",""ตรัง!J350"")"),36628)</f>
        <v>36628</v>
      </c>
      <c r="K455" s="378">
        <f ca="1">IF(I455&gt;0,J455*100/I455,0)</f>
        <v>92.134322726701043</v>
      </c>
      <c r="L455" s="379">
        <f ca="1">IFERROR(__xludf.DUMMYFUNCTION("IMPORTRANGE(""https://docs.google.com/spreadsheets/d/1IYY_tgx_IHuhSq3AJ5eI5OnqOPBNLWSHKh2a30DoXe8/edit?usp=sharing"",""ตรัง!L350"")"),284718.1)</f>
        <v>284718.09999999998</v>
      </c>
      <c r="M455" s="379"/>
      <c r="N455" s="379">
        <f ca="1">IFERROR(__xludf.DUMMYFUNCTION("IMPORTRANGE(""https://docs.google.com/spreadsheets/d/1IYY_tgx_IHuhSq3AJ5eI5OnqOPBNLWSHKh2a30DoXe8/edit?usp=sharing"",""ตรัง!M350"")"),60209.38)</f>
        <v>60209.38</v>
      </c>
      <c r="O455" s="379">
        <f t="shared" ref="O455:O459" ca="1" si="116">+IF(L455&gt;0,N455*100/L455,0)</f>
        <v>21.147015240688951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IFERROR(__xludf.DUMMYFUNCTION("IMPORTRANGE(""https://docs.google.com/spreadsheets/d/1IYY_tgx_IHuhSq3AJ5eI5OnqOPBNLWSHKh2a30DoXe8/edit?usp=sharing"",""ตรัง!L351"")"),0)</f>
        <v>0</v>
      </c>
      <c r="M456" s="168"/>
      <c r="N456" s="175">
        <f ca="1">IFERROR(__xludf.DUMMYFUNCTION("IMPORTRANGE(""https://docs.google.com/spreadsheets/d/1IYY_tgx_IHuhSq3AJ5eI5OnqOPBNLWSHKh2a30DoXe8/edit?usp=sharing"",""ตรัง!M351"")"),0)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IFERROR(__xludf.DUMMYFUNCTION("IMPORTRANGE(""https://docs.google.com/spreadsheets/d/1IYY_tgx_IHuhSq3AJ5eI5OnqOPBNLWSHKh2a30DoXe8/edit?usp=sharing"",""ตรัง!L352"")"),284718.1)</f>
        <v>284718.09999999998</v>
      </c>
      <c r="M457" s="169"/>
      <c r="N457" s="175">
        <f ca="1">IFERROR(__xludf.DUMMYFUNCTION("IMPORTRANGE(""https://docs.google.com/spreadsheets/d/1IYY_tgx_IHuhSq3AJ5eI5OnqOPBNLWSHKh2a30DoXe8/edit?usp=sharing"",""ตรัง!M352"")"),60209.38)</f>
        <v>60209.38</v>
      </c>
      <c r="O457" s="175">
        <f t="shared" ca="1" si="116"/>
        <v>21.147015240688951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IFERROR(__xludf.DUMMYFUNCTION("IMPORTRANGE(""https://docs.google.com/spreadsheets/d/1IYY_tgx_IHuhSq3AJ5eI5OnqOPBNLWSHKh2a30DoXe8/edit?usp=sharing"",""ตรัง!L353"")"),0)</f>
        <v>0</v>
      </c>
      <c r="M458" s="175"/>
      <c r="N458" s="175">
        <f ca="1">IFERROR(__xludf.DUMMYFUNCTION("IMPORTRANGE(""https://docs.google.com/spreadsheets/d/1IYY_tgx_IHuhSq3AJ5eI5OnqOPBNLWSHKh2a30DoXe8/edit?usp=sharing"",""ตรัง!M353"")"),0)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IFERROR(__xludf.DUMMYFUNCTION("IMPORTRANGE(""https://docs.google.com/spreadsheets/d/1IYY_tgx_IHuhSq3AJ5eI5OnqOPBNLWSHKh2a30DoXe8/edit?usp=sharing"",""ตรัง!L354"")"),284718.1)</f>
        <v>284718.09999999998</v>
      </c>
      <c r="M459" s="175"/>
      <c r="N459" s="175">
        <f ca="1">IFERROR(__xludf.DUMMYFUNCTION("IMPORTRANGE(""https://docs.google.com/spreadsheets/d/1IYY_tgx_IHuhSq3AJ5eI5OnqOPBNLWSHKh2a30DoXe8/edit?usp=sharing"",""ตรัง!M354"")"),60209.38)</f>
        <v>60209.38</v>
      </c>
      <c r="O459" s="175">
        <f t="shared" ca="1" si="116"/>
        <v>21.147015240688951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IFERROR(__xludf.DUMMYFUNCTION("IMPORTRANGE(""https://docs.google.com/spreadsheets/d/1IYY_tgx_IHuhSq3AJ5eI5OnqOPBNLWSHKh2a30DoXe8/edit?usp=sharing"",""ตรัง!M355"")"),0)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IFERROR(__xludf.DUMMYFUNCTION("IMPORTRANGE(""https://docs.google.com/spreadsheets/d/1IYY_tgx_IHuhSq3AJ5eI5OnqOPBNLWSHKh2a30DoXe8/edit?usp=sharing"",""ตรัง!M356"")"),0)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IFERROR(__xludf.DUMMYFUNCTION("IMPORTRANGE(""https://docs.google.com/spreadsheets/d/1IYY_tgx_IHuhSq3AJ5eI5OnqOPBNLWSHKh2a30DoXe8/edit?usp=sharing"",""ตรัง!M357"")"),0)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IFERROR(__xludf.DUMMYFUNCTION("IMPORTRANGE(""https://docs.google.com/spreadsheets/d/1IYY_tgx_IHuhSq3AJ5eI5OnqOPBNLWSHKh2a30DoXe8/edit?usp=sharing"",""ตรัง!M358"")"),60209.38)</f>
        <v>60209.38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IFERROR(__xludf.DUMMYFUNCTION("IMPORTRANGE(""https://docs.google.com/spreadsheets/d/1IYY_tgx_IHuhSq3AJ5eI5OnqOPBNLWSHKh2a30DoXe8/edit?usp=sharing"",""ตรัง!I359"")"),39755)</f>
        <v>39755</v>
      </c>
      <c r="J464" s="273">
        <f ca="1">IFERROR(__xludf.DUMMYFUNCTION("IMPORTRANGE(""https://docs.google.com/spreadsheets/d/1IYY_tgx_IHuhSq3AJ5eI5OnqOPBNLWSHKh2a30DoXe8/edit?usp=sharing"",""ตรัง!J359"")"),36628)</f>
        <v>36628</v>
      </c>
      <c r="K464" s="274">
        <f t="shared" ref="K464:K515" ca="1" si="117">IF(I464&gt;0,J464*100/I464,0)</f>
        <v>92.134322726701043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IFERROR(__xludf.DUMMYFUNCTION("IMPORTRANGE(""https://docs.google.com/spreadsheets/d/1IYY_tgx_IHuhSq3AJ5eI5OnqOPBNLWSHKh2a30DoXe8/edit?usp=sharing"",""ตรัง!I360"")"),39755)</f>
        <v>39755</v>
      </c>
      <c r="J465" s="426">
        <f ca="1">IFERROR(__xludf.DUMMYFUNCTION("IMPORTRANGE(""https://docs.google.com/spreadsheets/d/1IYY_tgx_IHuhSq3AJ5eI5OnqOPBNLWSHKh2a30DoXe8/edit?usp=sharing"",""ตรัง!J360"")"),39755)</f>
        <v>39755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IFERROR(__xludf.DUMMYFUNCTION("IMPORTRANGE(""https://docs.google.com/spreadsheets/d/1IYY_tgx_IHuhSq3AJ5eI5OnqOPBNLWSHKh2a30DoXe8/edit?usp=sharing"",""ตรัง!I361"")"),3513)</f>
        <v>3513</v>
      </c>
      <c r="J466" s="426">
        <f ca="1">IFERROR(__xludf.DUMMYFUNCTION("IMPORTRANGE(""https://docs.google.com/spreadsheets/d/1IYY_tgx_IHuhSq3AJ5eI5OnqOPBNLWSHKh2a30DoXe8/edit?usp=sharing"",""ตรัง!J361"")"),3512)</f>
        <v>3512</v>
      </c>
      <c r="K466" s="208">
        <f t="shared" ca="1" si="117"/>
        <v>99.971534301167097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IFERROR(__xludf.DUMMYFUNCTION("IMPORTRANGE(""https://docs.google.com/spreadsheets/d/1IYY_tgx_IHuhSq3AJ5eI5OnqOPBNLWSHKh2a30DoXe8/edit?usp=sharing"",""ตรัง!I362"")"),0)</f>
        <v>0</v>
      </c>
      <c r="J467" s="195">
        <f ca="1">IFERROR(__xludf.DUMMYFUNCTION("IMPORTRANGE(""https://docs.google.com/spreadsheets/d/1IYY_tgx_IHuhSq3AJ5eI5OnqOPBNLWSHKh2a30DoXe8/edit?usp=sharing"",""ตรัง!J362"")"),36628)</f>
        <v>36628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IFERROR(__xludf.DUMMYFUNCTION("IMPORTRANGE(""https://docs.google.com/spreadsheets/d/1IYY_tgx_IHuhSq3AJ5eI5OnqOPBNLWSHKh2a30DoXe8/edit?usp=sharing"",""ตรัง!I363"")"),0)</f>
        <v>0</v>
      </c>
      <c r="J468" s="195">
        <f ca="1">IFERROR(__xludf.DUMMYFUNCTION("IMPORTRANGE(""https://docs.google.com/spreadsheets/d/1IYY_tgx_IHuhSq3AJ5eI5OnqOPBNLWSHKh2a30DoXe8/edit?usp=sharing"",""ตรัง!J363"")"),3274)</f>
        <v>3274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IFERROR(__xludf.DUMMYFUNCTION("IMPORTRANGE(""https://docs.google.com/spreadsheets/d/1IYY_tgx_IHuhSq3AJ5eI5OnqOPBNLWSHKh2a30DoXe8/edit?usp=sharing"",""ตรัง!I364"")"),0)</f>
        <v>0</v>
      </c>
      <c r="J469" s="195">
        <f ca="1">IFERROR(__xludf.DUMMYFUNCTION("IMPORTRANGE(""https://docs.google.com/spreadsheets/d/1IYY_tgx_IHuhSq3AJ5eI5OnqOPBNLWSHKh2a30DoXe8/edit?usp=sharing"",""ตรัง!J364"")"),1659)</f>
        <v>1659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IFERROR(__xludf.DUMMYFUNCTION("IMPORTRANGE(""https://docs.google.com/spreadsheets/d/1IYY_tgx_IHuhSq3AJ5eI5OnqOPBNLWSHKh2a30DoXe8/edit?usp=sharing"",""ตรัง!I365"")"),0)</f>
        <v>0</v>
      </c>
      <c r="J470" s="195">
        <f ca="1">IFERROR(__xludf.DUMMYFUNCTION("IMPORTRANGE(""https://docs.google.com/spreadsheets/d/1IYY_tgx_IHuhSq3AJ5eI5OnqOPBNLWSHKh2a30DoXe8/edit?usp=sharing"",""ตรัง!J365"")"),133)</f>
        <v>133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IFERROR(__xludf.DUMMYFUNCTION("IMPORTRANGE(""https://docs.google.com/spreadsheets/d/1IYY_tgx_IHuhSq3AJ5eI5OnqOPBNLWSHKh2a30DoXe8/edit?usp=sharing"",""ตรัง!I366"")"),0)</f>
        <v>0</v>
      </c>
      <c r="J471" s="195">
        <f ca="1">IFERROR(__xludf.DUMMYFUNCTION("IMPORTRANGE(""https://docs.google.com/spreadsheets/d/1IYY_tgx_IHuhSq3AJ5eI5OnqOPBNLWSHKh2a30DoXe8/edit?usp=sharing"",""ตรัง!J366"")"),1468)</f>
        <v>1468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IFERROR(__xludf.DUMMYFUNCTION("IMPORTRANGE(""https://docs.google.com/spreadsheets/d/1IYY_tgx_IHuhSq3AJ5eI5OnqOPBNLWSHKh2a30DoXe8/edit?usp=sharing"",""ตรัง!I367"")"),0)</f>
        <v>0</v>
      </c>
      <c r="J472" s="195">
        <f ca="1">IFERROR(__xludf.DUMMYFUNCTION("IMPORTRANGE(""https://docs.google.com/spreadsheets/d/1IYY_tgx_IHuhSq3AJ5eI5OnqOPBNLWSHKh2a30DoXe8/edit?usp=sharing"",""ตรัง!J367"")"),105)</f>
        <v>105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IFERROR(__xludf.DUMMYFUNCTION("IMPORTRANGE(""https://docs.google.com/spreadsheets/d/1IYY_tgx_IHuhSq3AJ5eI5OnqOPBNLWSHKh2a30DoXe8/edit?usp=sharing"",""ตรัง!I368"")"),39755)</f>
        <v>39755</v>
      </c>
      <c r="J473" s="426">
        <f ca="1">IFERROR(__xludf.DUMMYFUNCTION("IMPORTRANGE(""https://docs.google.com/spreadsheets/d/1IYY_tgx_IHuhSq3AJ5eI5OnqOPBNLWSHKh2a30DoXe8/edit?usp=sharing"",""ตรัง!J368"")"),39755)</f>
        <v>39755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IFERROR(__xludf.DUMMYFUNCTION("IMPORTRANGE(""https://docs.google.com/spreadsheets/d/1IYY_tgx_IHuhSq3AJ5eI5OnqOPBNLWSHKh2a30DoXe8/edit?usp=sharing"",""ตรัง!I369"")"),3513)</f>
        <v>3513</v>
      </c>
      <c r="J474" s="426">
        <f ca="1">IFERROR(__xludf.DUMMYFUNCTION("IMPORTRANGE(""https://docs.google.com/spreadsheets/d/1IYY_tgx_IHuhSq3AJ5eI5OnqOPBNLWSHKh2a30DoXe8/edit?usp=sharing"",""ตรัง!J369"")"),3512)</f>
        <v>3512</v>
      </c>
      <c r="K474" s="208">
        <f t="shared" ca="1" si="117"/>
        <v>99.971534301167097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IFERROR(__xludf.DUMMYFUNCTION("IMPORTRANGE(""https://docs.google.com/spreadsheets/d/1IYY_tgx_IHuhSq3AJ5eI5OnqOPBNLWSHKh2a30DoXe8/edit?usp=sharing"",""ตรัง!I370"")"),0)</f>
        <v>0</v>
      </c>
      <c r="J475" s="195">
        <f ca="1">IFERROR(__xludf.DUMMYFUNCTION("IMPORTRANGE(""https://docs.google.com/spreadsheets/d/1IYY_tgx_IHuhSq3AJ5eI5OnqOPBNLWSHKh2a30DoXe8/edit?usp=sharing"",""ตรัง!J370"")"),36628)</f>
        <v>36628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IFERROR(__xludf.DUMMYFUNCTION("IMPORTRANGE(""https://docs.google.com/spreadsheets/d/1IYY_tgx_IHuhSq3AJ5eI5OnqOPBNLWSHKh2a30DoXe8/edit?usp=sharing"",""ตรัง!I371"")"),0)</f>
        <v>0</v>
      </c>
      <c r="J476" s="195">
        <f ca="1">IFERROR(__xludf.DUMMYFUNCTION("IMPORTRANGE(""https://docs.google.com/spreadsheets/d/1IYY_tgx_IHuhSq3AJ5eI5OnqOPBNLWSHKh2a30DoXe8/edit?usp=sharing"",""ตรัง!J371"")"),3274)</f>
        <v>3274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IFERROR(__xludf.DUMMYFUNCTION("IMPORTRANGE(""https://docs.google.com/spreadsheets/d/1IYY_tgx_IHuhSq3AJ5eI5OnqOPBNLWSHKh2a30DoXe8/edit?usp=sharing"",""ตรัง!I372"")"),0)</f>
        <v>0</v>
      </c>
      <c r="J477" s="195">
        <f ca="1">IFERROR(__xludf.DUMMYFUNCTION("IMPORTRANGE(""https://docs.google.com/spreadsheets/d/1IYY_tgx_IHuhSq3AJ5eI5OnqOPBNLWSHKh2a30DoXe8/edit?usp=sharing"",""ตรัง!J372"")"),1659)</f>
        <v>1659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IFERROR(__xludf.DUMMYFUNCTION("IMPORTRANGE(""https://docs.google.com/spreadsheets/d/1IYY_tgx_IHuhSq3AJ5eI5OnqOPBNLWSHKh2a30DoXe8/edit?usp=sharing"",""ตรัง!I373"")"),0)</f>
        <v>0</v>
      </c>
      <c r="J478" s="195">
        <f ca="1">IFERROR(__xludf.DUMMYFUNCTION("IMPORTRANGE(""https://docs.google.com/spreadsheets/d/1IYY_tgx_IHuhSq3AJ5eI5OnqOPBNLWSHKh2a30DoXe8/edit?usp=sharing"",""ตรัง!J373"")"),133)</f>
        <v>133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IFERROR(__xludf.DUMMYFUNCTION("IMPORTRANGE(""https://docs.google.com/spreadsheets/d/1IYY_tgx_IHuhSq3AJ5eI5OnqOPBNLWSHKh2a30DoXe8/edit?usp=sharing"",""ตรัง!I374"")"),0)</f>
        <v>0</v>
      </c>
      <c r="J479" s="195">
        <f ca="1">IFERROR(__xludf.DUMMYFUNCTION("IMPORTRANGE(""https://docs.google.com/spreadsheets/d/1IYY_tgx_IHuhSq3AJ5eI5OnqOPBNLWSHKh2a30DoXe8/edit?usp=sharing"",""ตรัง!J374"")"),1468)</f>
        <v>1468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IFERROR(__xludf.DUMMYFUNCTION("IMPORTRANGE(""https://docs.google.com/spreadsheets/d/1IYY_tgx_IHuhSq3AJ5eI5OnqOPBNLWSHKh2a30DoXe8/edit?usp=sharing"",""ตรัง!I375"")"),0)</f>
        <v>0</v>
      </c>
      <c r="J480" s="195">
        <f ca="1">IFERROR(__xludf.DUMMYFUNCTION("IMPORTRANGE(""https://docs.google.com/spreadsheets/d/1IYY_tgx_IHuhSq3AJ5eI5OnqOPBNLWSHKh2a30DoXe8/edit?usp=sharing"",""ตรัง!J375"")"),105)</f>
        <v>105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IFERROR(__xludf.DUMMYFUNCTION("IMPORTRANGE(""https://docs.google.com/spreadsheets/d/1IYY_tgx_IHuhSq3AJ5eI5OnqOPBNLWSHKh2a30DoXe8/edit?usp=sharing"",""ตรัง!I376"")"),39755)</f>
        <v>39755</v>
      </c>
      <c r="J481" s="426">
        <f ca="1">IFERROR(__xludf.DUMMYFUNCTION("IMPORTRANGE(""https://docs.google.com/spreadsheets/d/1IYY_tgx_IHuhSq3AJ5eI5OnqOPBNLWSHKh2a30DoXe8/edit?usp=sharing"",""ตรัง!J376"")"),36628)</f>
        <v>36628</v>
      </c>
      <c r="K481" s="208">
        <f t="shared" ca="1" si="117"/>
        <v>92.134322726701043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IFERROR(__xludf.DUMMYFUNCTION("IMPORTRANGE(""https://docs.google.com/spreadsheets/d/1IYY_tgx_IHuhSq3AJ5eI5OnqOPBNLWSHKh2a30DoXe8/edit?usp=sharing"",""ตรัง!I377"")"),3513)</f>
        <v>3513</v>
      </c>
      <c r="J482" s="426">
        <f ca="1">IFERROR(__xludf.DUMMYFUNCTION("IMPORTRANGE(""https://docs.google.com/spreadsheets/d/1IYY_tgx_IHuhSq3AJ5eI5OnqOPBNLWSHKh2a30DoXe8/edit?usp=sharing"",""ตรัง!J377"")"),3274)</f>
        <v>3274</v>
      </c>
      <c r="K482" s="208">
        <f t="shared" ca="1" si="117"/>
        <v>93.196697978935376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IFERROR(__xludf.DUMMYFUNCTION("IMPORTRANGE(""https://docs.google.com/spreadsheets/d/1IYY_tgx_IHuhSq3AJ5eI5OnqOPBNLWSHKh2a30DoXe8/edit?usp=sharing"",""ตรัง!I378"")"),0)</f>
        <v>0</v>
      </c>
      <c r="J483" s="195">
        <f ca="1">IFERROR(__xludf.DUMMYFUNCTION("IMPORTRANGE(""https://docs.google.com/spreadsheets/d/1IYY_tgx_IHuhSq3AJ5eI5OnqOPBNLWSHKh2a30DoXe8/edit?usp=sharing"",""ตรัง!J378"")"),36628)</f>
        <v>36628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IFERROR(__xludf.DUMMYFUNCTION("IMPORTRANGE(""https://docs.google.com/spreadsheets/d/1IYY_tgx_IHuhSq3AJ5eI5OnqOPBNLWSHKh2a30DoXe8/edit?usp=sharing"",""ตรัง!I379"")"),0)</f>
        <v>0</v>
      </c>
      <c r="J484" s="195">
        <f ca="1">IFERROR(__xludf.DUMMYFUNCTION("IMPORTRANGE(""https://docs.google.com/spreadsheets/d/1IYY_tgx_IHuhSq3AJ5eI5OnqOPBNLWSHKh2a30DoXe8/edit?usp=sharing"",""ตรัง!J379"")"),3274)</f>
        <v>3274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IFERROR(__xludf.DUMMYFUNCTION("IMPORTRANGE(""https://docs.google.com/spreadsheets/d/1IYY_tgx_IHuhSq3AJ5eI5OnqOPBNLWSHKh2a30DoXe8/edit?usp=sharing"",""ตรัง!I380"")"),0)</f>
        <v>0</v>
      </c>
      <c r="J485" s="195">
        <f ca="1">IFERROR(__xludf.DUMMYFUNCTION("IMPORTRANGE(""https://docs.google.com/spreadsheets/d/1IYY_tgx_IHuhSq3AJ5eI5OnqOPBNLWSHKh2a30DoXe8/edit?usp=sharing"",""ตรัง!J380"")"),0)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IFERROR(__xludf.DUMMYFUNCTION("IMPORTRANGE(""https://docs.google.com/spreadsheets/d/1IYY_tgx_IHuhSq3AJ5eI5OnqOPBNLWSHKh2a30DoXe8/edit?usp=sharing"",""ตรัง!I381"")"),0)</f>
        <v>0</v>
      </c>
      <c r="J486" s="195">
        <f ca="1">IFERROR(__xludf.DUMMYFUNCTION("IMPORTRANGE(""https://docs.google.com/spreadsheets/d/1IYY_tgx_IHuhSq3AJ5eI5OnqOPBNLWSHKh2a30DoXe8/edit?usp=sharing"",""ตรัง!J381"")"),0)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IFERROR(__xludf.DUMMYFUNCTION("IMPORTRANGE(""https://docs.google.com/spreadsheets/d/1IYY_tgx_IHuhSq3AJ5eI5OnqOPBNLWSHKh2a30DoXe8/edit?usp=sharing"",""ตรัง!I382"")"),0)</f>
        <v>0</v>
      </c>
      <c r="J487" s="426">
        <f ca="1">IFERROR(__xludf.DUMMYFUNCTION("IMPORTRANGE(""https://docs.google.com/spreadsheets/d/1IYY_tgx_IHuhSq3AJ5eI5OnqOPBNLWSHKh2a30DoXe8/edit?usp=sharing"",""ตรัง!J382"")"),0)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IFERROR(__xludf.DUMMYFUNCTION("IMPORTRANGE(""https://docs.google.com/spreadsheets/d/1IYY_tgx_IHuhSq3AJ5eI5OnqOPBNLWSHKh2a30DoXe8/edit?usp=sharing"",""ตรัง!I383"")"),0)</f>
        <v>0</v>
      </c>
      <c r="J488" s="426">
        <f ca="1">IFERROR(__xludf.DUMMYFUNCTION("IMPORTRANGE(""https://docs.google.com/spreadsheets/d/1IYY_tgx_IHuhSq3AJ5eI5OnqOPBNLWSHKh2a30DoXe8/edit?usp=sharing"",""ตรัง!J383"")"),0)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IFERROR(__xludf.DUMMYFUNCTION("IMPORTRANGE(""https://docs.google.com/spreadsheets/d/1IYY_tgx_IHuhSq3AJ5eI5OnqOPBNLWSHKh2a30DoXe8/edit?usp=sharing"",""ตรัง!I384"")"),0)</f>
        <v>0</v>
      </c>
      <c r="J489" s="195">
        <f ca="1">IFERROR(__xludf.DUMMYFUNCTION("IMPORTRANGE(""https://docs.google.com/spreadsheets/d/1IYY_tgx_IHuhSq3AJ5eI5OnqOPBNLWSHKh2a30DoXe8/edit?usp=sharing"",""ตรัง!J384"")"),0)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IFERROR(__xludf.DUMMYFUNCTION("IMPORTRANGE(""https://docs.google.com/spreadsheets/d/1IYY_tgx_IHuhSq3AJ5eI5OnqOPBNLWSHKh2a30DoXe8/edit?usp=sharing"",""ตรัง!I385"")"),0)</f>
        <v>0</v>
      </c>
      <c r="J490" s="195">
        <f ca="1">IFERROR(__xludf.DUMMYFUNCTION("IMPORTRANGE(""https://docs.google.com/spreadsheets/d/1IYY_tgx_IHuhSq3AJ5eI5OnqOPBNLWSHKh2a30DoXe8/edit?usp=sharing"",""ตรัง!J385"")"),0)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IFERROR(__xludf.DUMMYFUNCTION("IMPORTRANGE(""https://docs.google.com/spreadsheets/d/1IYY_tgx_IHuhSq3AJ5eI5OnqOPBNLWSHKh2a30DoXe8/edit?usp=sharing"",""ตรัง!I386"")"),0)</f>
        <v>0</v>
      </c>
      <c r="J491" s="195">
        <f ca="1">IFERROR(__xludf.DUMMYFUNCTION("IMPORTRANGE(""https://docs.google.com/spreadsheets/d/1IYY_tgx_IHuhSq3AJ5eI5OnqOPBNLWSHKh2a30DoXe8/edit?usp=sharing"",""ตรัง!J386"")"),0)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IFERROR(__xludf.DUMMYFUNCTION("IMPORTRANGE(""https://docs.google.com/spreadsheets/d/1IYY_tgx_IHuhSq3AJ5eI5OnqOPBNLWSHKh2a30DoXe8/edit?usp=sharing"",""ตรัง!I387"")"),0)</f>
        <v>0</v>
      </c>
      <c r="J492" s="195">
        <f ca="1">IFERROR(__xludf.DUMMYFUNCTION("IMPORTRANGE(""https://docs.google.com/spreadsheets/d/1IYY_tgx_IHuhSq3AJ5eI5OnqOPBNLWSHKh2a30DoXe8/edit?usp=sharing"",""ตรัง!J387"")"),0)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IFERROR(__xludf.DUMMYFUNCTION("IMPORTRANGE(""https://docs.google.com/spreadsheets/d/1IYY_tgx_IHuhSq3AJ5eI5OnqOPBNLWSHKh2a30DoXe8/edit?usp=sharing"",""ตรัง!I388"")"),0)</f>
        <v>0</v>
      </c>
      <c r="J493" s="195">
        <f ca="1">IFERROR(__xludf.DUMMYFUNCTION("IMPORTRANGE(""https://docs.google.com/spreadsheets/d/1IYY_tgx_IHuhSq3AJ5eI5OnqOPBNLWSHKh2a30DoXe8/edit?usp=sharing"",""ตรัง!J388"")"),0)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IFERROR(__xludf.DUMMYFUNCTION("IMPORTRANGE(""https://docs.google.com/spreadsheets/d/1IYY_tgx_IHuhSq3AJ5eI5OnqOPBNLWSHKh2a30DoXe8/edit?usp=sharing"",""ตรัง!I389"")"),0)</f>
        <v>0</v>
      </c>
      <c r="J494" s="442">
        <f ca="1">IFERROR(__xludf.DUMMYFUNCTION("IMPORTRANGE(""https://docs.google.com/spreadsheets/d/1IYY_tgx_IHuhSq3AJ5eI5OnqOPBNLWSHKh2a30DoXe8/edit?usp=sharing"",""ตรัง!J389"")"),0)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IFERROR(__xludf.DUMMYFUNCTION("IMPORTRANGE(""https://docs.google.com/spreadsheets/d/1IYY_tgx_IHuhSq3AJ5eI5OnqOPBNLWSHKh2a30DoXe8/edit?usp=sharing"",""ตรัง!I390"")"),0)</f>
        <v>0</v>
      </c>
      <c r="J495" s="442">
        <f ca="1">IFERROR(__xludf.DUMMYFUNCTION("IMPORTRANGE(""https://docs.google.com/spreadsheets/d/1IYY_tgx_IHuhSq3AJ5eI5OnqOPBNLWSHKh2a30DoXe8/edit?usp=sharing"",""ตรัง!J390"")"),0)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IFERROR(__xludf.DUMMYFUNCTION("IMPORTRANGE(""https://docs.google.com/spreadsheets/d/1IYY_tgx_IHuhSq3AJ5eI5OnqOPBNLWSHKh2a30DoXe8/edit?usp=sharing"",""ตรัง!I391"")"),0)</f>
        <v>0</v>
      </c>
      <c r="J496" s="442">
        <f ca="1">IFERROR(__xludf.DUMMYFUNCTION("IMPORTRANGE(""https://docs.google.com/spreadsheets/d/1IYY_tgx_IHuhSq3AJ5eI5OnqOPBNLWSHKh2a30DoXe8/edit?usp=sharing"",""ตรัง!J391"")"),0)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IFERROR(__xludf.DUMMYFUNCTION("IMPORTRANGE(""https://docs.google.com/spreadsheets/d/1IYY_tgx_IHuhSq3AJ5eI5OnqOPBNLWSHKh2a30DoXe8/edit?usp=sharing"",""ตรัง!I392"")"),1066)</f>
        <v>1066</v>
      </c>
      <c r="J497" s="449">
        <f ca="1">IFERROR(__xludf.DUMMYFUNCTION("IMPORTRANGE(""https://docs.google.com/spreadsheets/d/1IYY_tgx_IHuhSq3AJ5eI5OnqOPBNLWSHKh2a30DoXe8/edit?usp=sharing"",""ตรัง!J392"")"),0)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IFERROR(__xludf.DUMMYFUNCTION("IMPORTRANGE(""https://docs.google.com/spreadsheets/d/1IYY_tgx_IHuhSq3AJ5eI5OnqOPBNLWSHKh2a30DoXe8/edit?usp=sharing"",""ตรัง!I393"")"),1066)</f>
        <v>1066</v>
      </c>
      <c r="J498" s="426">
        <f ca="1">IFERROR(__xludf.DUMMYFUNCTION("IMPORTRANGE(""https://docs.google.com/spreadsheets/d/1IYY_tgx_IHuhSq3AJ5eI5OnqOPBNLWSHKh2a30DoXe8/edit?usp=sharing"",""ตรัง!J393"")"),0)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IFERROR(__xludf.DUMMYFUNCTION("IMPORTRANGE(""https://docs.google.com/spreadsheets/d/1IYY_tgx_IHuhSq3AJ5eI5OnqOPBNLWSHKh2a30DoXe8/edit?usp=sharing"",""ตรัง!I394"")"),164)</f>
        <v>164</v>
      </c>
      <c r="J499" s="426">
        <f ca="1">IFERROR(__xludf.DUMMYFUNCTION("IMPORTRANGE(""https://docs.google.com/spreadsheets/d/1IYY_tgx_IHuhSq3AJ5eI5OnqOPBNLWSHKh2a30DoXe8/edit?usp=sharing"",""ตรัง!J394"")"),0)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IFERROR(__xludf.DUMMYFUNCTION("IMPORTRANGE(""https://docs.google.com/spreadsheets/d/1IYY_tgx_IHuhSq3AJ5eI5OnqOPBNLWSHKh2a30DoXe8/edit?usp=sharing"",""ตรัง!I395"")"),0)</f>
        <v>0</v>
      </c>
      <c r="J500" s="166">
        <f ca="1">IFERROR(__xludf.DUMMYFUNCTION("IMPORTRANGE(""https://docs.google.com/spreadsheets/d/1IYY_tgx_IHuhSq3AJ5eI5OnqOPBNLWSHKh2a30DoXe8/edit?usp=sharing"",""ตรัง!J395"")"),0)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IFERROR(__xludf.DUMMYFUNCTION("IMPORTRANGE(""https://docs.google.com/spreadsheets/d/1IYY_tgx_IHuhSq3AJ5eI5OnqOPBNLWSHKh2a30DoXe8/edit?usp=sharing"",""ตรัง!I396"")"),0)</f>
        <v>0</v>
      </c>
      <c r="J501" s="166">
        <f ca="1">IFERROR(__xludf.DUMMYFUNCTION("IMPORTRANGE(""https://docs.google.com/spreadsheets/d/1IYY_tgx_IHuhSq3AJ5eI5OnqOPBNLWSHKh2a30DoXe8/edit?usp=sharing"",""ตรัง!J396"")"),0)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IFERROR(__xludf.DUMMYFUNCTION("IMPORTRANGE(""https://docs.google.com/spreadsheets/d/1IYY_tgx_IHuhSq3AJ5eI5OnqOPBNLWSHKh2a30DoXe8/edit?usp=sharing"",""ตรัง!I397"")"),0)</f>
        <v>0</v>
      </c>
      <c r="J502" s="195">
        <f ca="1">IFERROR(__xludf.DUMMYFUNCTION("IMPORTRANGE(""https://docs.google.com/spreadsheets/d/1IYY_tgx_IHuhSq3AJ5eI5OnqOPBNLWSHKh2a30DoXe8/edit?usp=sharing"",""ตรัง!J397"")"),0)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IFERROR(__xludf.DUMMYFUNCTION("IMPORTRANGE(""https://docs.google.com/spreadsheets/d/1IYY_tgx_IHuhSq3AJ5eI5OnqOPBNLWSHKh2a30DoXe8/edit?usp=sharing"",""ตรัง!I398"")"),0)</f>
        <v>0</v>
      </c>
      <c r="J503" s="204">
        <f ca="1">IFERROR(__xludf.DUMMYFUNCTION("IMPORTRANGE(""https://docs.google.com/spreadsheets/d/1IYY_tgx_IHuhSq3AJ5eI5OnqOPBNLWSHKh2a30DoXe8/edit?usp=sharing"",""ตรัง!J398"")"),0)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IFERROR(__xludf.DUMMYFUNCTION("IMPORTRANGE(""https://docs.google.com/spreadsheets/d/1IYY_tgx_IHuhSq3AJ5eI5OnqOPBNLWSHKh2a30DoXe8/edit?usp=sharing"",""ตรัง!I399"")"),0)</f>
        <v>0</v>
      </c>
      <c r="J504" s="195">
        <f ca="1">IFERROR(__xludf.DUMMYFUNCTION("IMPORTRANGE(""https://docs.google.com/spreadsheets/d/1IYY_tgx_IHuhSq3AJ5eI5OnqOPBNLWSHKh2a30DoXe8/edit?usp=sharing"",""ตรัง!J399"")"),0)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IFERROR(__xludf.DUMMYFUNCTION("IMPORTRANGE(""https://docs.google.com/spreadsheets/d/1IYY_tgx_IHuhSq3AJ5eI5OnqOPBNLWSHKh2a30DoXe8/edit?usp=sharing"",""ตรัง!I400"")"),0)</f>
        <v>0</v>
      </c>
      <c r="J505" s="204">
        <f ca="1">IFERROR(__xludf.DUMMYFUNCTION("IMPORTRANGE(""https://docs.google.com/spreadsheets/d/1IYY_tgx_IHuhSq3AJ5eI5OnqOPBNLWSHKh2a30DoXe8/edit?usp=sharing"",""ตรัง!J400"")"),0)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IFERROR(__xludf.DUMMYFUNCTION("IMPORTRANGE(""https://docs.google.com/spreadsheets/d/1IYY_tgx_IHuhSq3AJ5eI5OnqOPBNLWSHKh2a30DoXe8/edit?usp=sharing"",""ตรัง!I401"")"),0)</f>
        <v>0</v>
      </c>
      <c r="J506" s="195">
        <f ca="1">IFERROR(__xludf.DUMMYFUNCTION("IMPORTRANGE(""https://docs.google.com/spreadsheets/d/1IYY_tgx_IHuhSq3AJ5eI5OnqOPBNLWSHKh2a30DoXe8/edit?usp=sharing"",""ตรัง!J401"")"),0)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IFERROR(__xludf.DUMMYFUNCTION("IMPORTRANGE(""https://docs.google.com/spreadsheets/d/1IYY_tgx_IHuhSq3AJ5eI5OnqOPBNLWSHKh2a30DoXe8/edit?usp=sharing"",""ตรัง!I402"")"),0)</f>
        <v>0</v>
      </c>
      <c r="J507" s="204">
        <f ca="1">IFERROR(__xludf.DUMMYFUNCTION("IMPORTRANGE(""https://docs.google.com/spreadsheets/d/1IYY_tgx_IHuhSq3AJ5eI5OnqOPBNLWSHKh2a30DoXe8/edit?usp=sharing"",""ตรัง!J402"")"),0)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IFERROR(__xludf.DUMMYFUNCTION("IMPORTRANGE(""https://docs.google.com/spreadsheets/d/1IYY_tgx_IHuhSq3AJ5eI5OnqOPBNLWSHKh2a30DoXe8/edit?usp=sharing"",""ตรัง!I403"")"),0)</f>
        <v>0</v>
      </c>
      <c r="J508" s="166">
        <f ca="1">IFERROR(__xludf.DUMMYFUNCTION("IMPORTRANGE(""https://docs.google.com/spreadsheets/d/1IYY_tgx_IHuhSq3AJ5eI5OnqOPBNLWSHKh2a30DoXe8/edit?usp=sharing"",""ตรัง!J403"")"),0)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IFERROR(__xludf.DUMMYFUNCTION("IMPORTRANGE(""https://docs.google.com/spreadsheets/d/1IYY_tgx_IHuhSq3AJ5eI5OnqOPBNLWSHKh2a30DoXe8/edit?usp=sharing"",""ตรัง!I404"")"),0)</f>
        <v>0</v>
      </c>
      <c r="J509" s="166">
        <f ca="1">IFERROR(__xludf.DUMMYFUNCTION("IMPORTRANGE(""https://docs.google.com/spreadsheets/d/1IYY_tgx_IHuhSq3AJ5eI5OnqOPBNLWSHKh2a30DoXe8/edit?usp=sharing"",""ตรัง!J404"")"),0)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IFERROR(__xludf.DUMMYFUNCTION("IMPORTRANGE(""https://docs.google.com/spreadsheets/d/1IYY_tgx_IHuhSq3AJ5eI5OnqOPBNLWSHKh2a30DoXe8/edit?usp=sharing"",""ตรัง!I405"")"),0)</f>
        <v>0</v>
      </c>
      <c r="J510" s="204">
        <f ca="1">IFERROR(__xludf.DUMMYFUNCTION("IMPORTRANGE(""https://docs.google.com/spreadsheets/d/1IYY_tgx_IHuhSq3AJ5eI5OnqOPBNLWSHKh2a30DoXe8/edit?usp=sharing"",""ตรัง!J405"")"),0)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IFERROR(__xludf.DUMMYFUNCTION("IMPORTRANGE(""https://docs.google.com/spreadsheets/d/1IYY_tgx_IHuhSq3AJ5eI5OnqOPBNLWSHKh2a30DoXe8/edit?usp=sharing"",""ตรัง!I406"")"),0)</f>
        <v>0</v>
      </c>
      <c r="J511" s="204">
        <f ca="1">IFERROR(__xludf.DUMMYFUNCTION("IMPORTRANGE(""https://docs.google.com/spreadsheets/d/1IYY_tgx_IHuhSq3AJ5eI5OnqOPBNLWSHKh2a30DoXe8/edit?usp=sharing"",""ตรัง!J406"")"),0)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IFERROR(__xludf.DUMMYFUNCTION("IMPORTRANGE(""https://docs.google.com/spreadsheets/d/1IYY_tgx_IHuhSq3AJ5eI5OnqOPBNLWSHKh2a30DoXe8/edit?usp=sharing"",""ตรัง!I407"")"),0)</f>
        <v>0</v>
      </c>
      <c r="J512" s="204">
        <f ca="1">IFERROR(__xludf.DUMMYFUNCTION("IMPORTRANGE(""https://docs.google.com/spreadsheets/d/1IYY_tgx_IHuhSq3AJ5eI5OnqOPBNLWSHKh2a30DoXe8/edit?usp=sharing"",""ตรัง!J407"")"),0)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IFERROR(__xludf.DUMMYFUNCTION("IMPORTRANGE(""https://docs.google.com/spreadsheets/d/1IYY_tgx_IHuhSq3AJ5eI5OnqOPBNLWSHKh2a30DoXe8/edit?usp=sharing"",""ตรัง!I408"")"),0)</f>
        <v>0</v>
      </c>
      <c r="J513" s="204">
        <f ca="1">IFERROR(__xludf.DUMMYFUNCTION("IMPORTRANGE(""https://docs.google.com/spreadsheets/d/1IYY_tgx_IHuhSq3AJ5eI5OnqOPBNLWSHKh2a30DoXe8/edit?usp=sharing"",""ตรัง!J408"")"),0)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IFERROR(__xludf.DUMMYFUNCTION("IMPORTRANGE(""https://docs.google.com/spreadsheets/d/1IYY_tgx_IHuhSq3AJ5eI5OnqOPBNLWSHKh2a30DoXe8/edit?usp=sharing"",""ตรัง!I409"")"),0)</f>
        <v>0</v>
      </c>
      <c r="J514" s="204">
        <f ca="1">IFERROR(__xludf.DUMMYFUNCTION("IMPORTRANGE(""https://docs.google.com/spreadsheets/d/1IYY_tgx_IHuhSq3AJ5eI5OnqOPBNLWSHKh2a30DoXe8/edit?usp=sharing"",""ตรัง!J409"")"),0)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IFERROR(__xludf.DUMMYFUNCTION("IMPORTRANGE(""https://docs.google.com/spreadsheets/d/1IYY_tgx_IHuhSq3AJ5eI5OnqOPBNLWSHKh2a30DoXe8/edit?usp=sharing"",""ตรัง!I410"")"),0)</f>
        <v>0</v>
      </c>
      <c r="J515" s="204">
        <f ca="1">IFERROR(__xludf.DUMMYFUNCTION("IMPORTRANGE(""https://docs.google.com/spreadsheets/d/1IYY_tgx_IHuhSq3AJ5eI5OnqOPBNLWSHKh2a30DoXe8/edit?usp=sharing"",""ตรัง!J410"")"),0)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IFERROR(__xludf.DUMMYFUNCTION("IMPORTRANGE(""https://docs.google.com/spreadsheets/d/1IYY_tgx_IHuhSq3AJ5eI5OnqOPBNLWSHKh2a30DoXe8/edit?usp=sharing"",""ตรัง!I411"")"),0)</f>
        <v>0</v>
      </c>
      <c r="J516" s="273">
        <f ca="1">IFERROR(__xludf.DUMMYFUNCTION("IMPORTRANGE(""https://docs.google.com/spreadsheets/d/1IYY_tgx_IHuhSq3AJ5eI5OnqOPBNLWSHKh2a30DoXe8/edit?usp=sharing"",""ตรัง!J411"")"),0)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IFERROR(__xludf.DUMMYFUNCTION("IMPORTRANGE(""https://docs.google.com/spreadsheets/d/1IYY_tgx_IHuhSq3AJ5eI5OnqOPBNLWSHKh2a30DoXe8/edit?usp=sharing"",""ตรัง!I412"")"),0)</f>
        <v>0</v>
      </c>
      <c r="J517" s="290">
        <f ca="1">IFERROR(__xludf.DUMMYFUNCTION("IMPORTRANGE(""https://docs.google.com/spreadsheets/d/1IYY_tgx_IHuhSq3AJ5eI5OnqOPBNLWSHKh2a30DoXe8/edit?usp=sharing"",""ตรัง!J412"")"),0)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IFERROR(__xludf.DUMMYFUNCTION("IMPORTRANGE(""https://docs.google.com/spreadsheets/d/1IYY_tgx_IHuhSq3AJ5eI5OnqOPBNLWSHKh2a30DoXe8/edit?usp=sharing"",""ตรัง!I413"")"),0)</f>
        <v>0</v>
      </c>
      <c r="J518" s="290">
        <f ca="1">IFERROR(__xludf.DUMMYFUNCTION("IMPORTRANGE(""https://docs.google.com/spreadsheets/d/1IYY_tgx_IHuhSq3AJ5eI5OnqOPBNLWSHKh2a30DoXe8/edit?usp=sharing"",""ตรัง!J413"")"),0)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IFERROR(__xludf.DUMMYFUNCTION("IMPORTRANGE(""https://docs.google.com/spreadsheets/d/1IYY_tgx_IHuhSq3AJ5eI5OnqOPBNLWSHKh2a30DoXe8/edit?usp=sharing"",""ตรัง!I414"")"),0)</f>
        <v>0</v>
      </c>
      <c r="J519" s="194">
        <f ca="1">IFERROR(__xludf.DUMMYFUNCTION("IMPORTRANGE(""https://docs.google.com/spreadsheets/d/1IYY_tgx_IHuhSq3AJ5eI5OnqOPBNLWSHKh2a30DoXe8/edit?usp=sharing"",""ตรัง!J414"")"),0)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IFERROR(__xludf.DUMMYFUNCTION("IMPORTRANGE(""https://docs.google.com/spreadsheets/d/1IYY_tgx_IHuhSq3AJ5eI5OnqOPBNLWSHKh2a30DoXe8/edit?usp=sharing"",""ตรัง!I415"")"),0)</f>
        <v>0</v>
      </c>
      <c r="J520" s="194">
        <f ca="1">IFERROR(__xludf.DUMMYFUNCTION("IMPORTRANGE(""https://docs.google.com/spreadsheets/d/1IYY_tgx_IHuhSq3AJ5eI5OnqOPBNLWSHKh2a30DoXe8/edit?usp=sharing"",""ตรัง!J415"")"),0)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IFERROR(__xludf.DUMMYFUNCTION("IMPORTRANGE(""https://docs.google.com/spreadsheets/d/1IYY_tgx_IHuhSq3AJ5eI5OnqOPBNLWSHKh2a30DoXe8/edit?usp=sharing"",""ตรัง!I416"")"),0)</f>
        <v>0</v>
      </c>
      <c r="J521" s="194">
        <f ca="1">IFERROR(__xludf.DUMMYFUNCTION("IMPORTRANGE(""https://docs.google.com/spreadsheets/d/1IYY_tgx_IHuhSq3AJ5eI5OnqOPBNLWSHKh2a30DoXe8/edit?usp=sharing"",""ตรัง!J416"")"),0)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IFERROR(__xludf.DUMMYFUNCTION("IMPORTRANGE(""https://docs.google.com/spreadsheets/d/1IYY_tgx_IHuhSq3AJ5eI5OnqOPBNLWSHKh2a30DoXe8/edit?usp=sharing"",""ตรัง!I417"")"),0)</f>
        <v>0</v>
      </c>
      <c r="J522" s="194">
        <f ca="1">IFERROR(__xludf.DUMMYFUNCTION("IMPORTRANGE(""https://docs.google.com/spreadsheets/d/1IYY_tgx_IHuhSq3AJ5eI5OnqOPBNLWSHKh2a30DoXe8/edit?usp=sharing"",""ตรัง!J417"")"),0)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IFERROR(__xludf.DUMMYFUNCTION("IMPORTRANGE(""https://docs.google.com/spreadsheets/d/1IYY_tgx_IHuhSq3AJ5eI5OnqOPBNLWSHKh2a30DoXe8/edit?usp=sharing"",""ตรัง!I418"")"),0)</f>
        <v>0</v>
      </c>
      <c r="J523" s="194">
        <f ca="1">IFERROR(__xludf.DUMMYFUNCTION("IMPORTRANGE(""https://docs.google.com/spreadsheets/d/1IYY_tgx_IHuhSq3AJ5eI5OnqOPBNLWSHKh2a30DoXe8/edit?usp=sharing"",""ตรัง!J418"")"),0)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IFERROR(__xludf.DUMMYFUNCTION("IMPORTRANGE(""https://docs.google.com/spreadsheets/d/1IYY_tgx_IHuhSq3AJ5eI5OnqOPBNLWSHKh2a30DoXe8/edit?usp=sharing"",""ตรัง!I419"")"),0)</f>
        <v>0</v>
      </c>
      <c r="J524" s="194">
        <f ca="1">IFERROR(__xludf.DUMMYFUNCTION("IMPORTRANGE(""https://docs.google.com/spreadsheets/d/1IYY_tgx_IHuhSq3AJ5eI5OnqOPBNLWSHKh2a30DoXe8/edit?usp=sharing"",""ตรัง!J419"")"),0)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IFERROR(__xludf.DUMMYFUNCTION("IMPORTRANGE(""https://docs.google.com/spreadsheets/d/1IYY_tgx_IHuhSq3AJ5eI5OnqOPBNLWSHKh2a30DoXe8/edit?usp=sharing"",""ตรัง!I420"")"),0)</f>
        <v>0</v>
      </c>
      <c r="J525" s="290">
        <f ca="1">IFERROR(__xludf.DUMMYFUNCTION("IMPORTRANGE(""https://docs.google.com/spreadsheets/d/1IYY_tgx_IHuhSq3AJ5eI5OnqOPBNLWSHKh2a30DoXe8/edit?usp=sharing"",""ตรัง!J420"")"),0)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IFERROR(__xludf.DUMMYFUNCTION("IMPORTRANGE(""https://docs.google.com/spreadsheets/d/1IYY_tgx_IHuhSq3AJ5eI5OnqOPBNLWSHKh2a30DoXe8/edit?usp=sharing"",""ตรัง!I421"")"),0)</f>
        <v>0</v>
      </c>
      <c r="J526" s="290">
        <f ca="1">IFERROR(__xludf.DUMMYFUNCTION("IMPORTRANGE(""https://docs.google.com/spreadsheets/d/1IYY_tgx_IHuhSq3AJ5eI5OnqOPBNLWSHKh2a30DoXe8/edit?usp=sharing"",""ตรัง!J421"")"),0)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IFERROR(__xludf.DUMMYFUNCTION("IMPORTRANGE(""https://docs.google.com/spreadsheets/d/1IYY_tgx_IHuhSq3AJ5eI5OnqOPBNLWSHKh2a30DoXe8/edit?usp=sharing"",""ตรัง!I422"")"),0)</f>
        <v>0</v>
      </c>
      <c r="J527" s="204">
        <f ca="1">IFERROR(__xludf.DUMMYFUNCTION("IMPORTRANGE(""https://docs.google.com/spreadsheets/d/1IYY_tgx_IHuhSq3AJ5eI5OnqOPBNLWSHKh2a30DoXe8/edit?usp=sharing"",""ตรัง!J422"")"),0)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IFERROR(__xludf.DUMMYFUNCTION("IMPORTRANGE(""https://docs.google.com/spreadsheets/d/1IYY_tgx_IHuhSq3AJ5eI5OnqOPBNLWSHKh2a30DoXe8/edit?usp=sharing"",""ตรัง!I423"")"),0)</f>
        <v>0</v>
      </c>
      <c r="J528" s="204">
        <f ca="1">IFERROR(__xludf.DUMMYFUNCTION("IMPORTRANGE(""https://docs.google.com/spreadsheets/d/1IYY_tgx_IHuhSq3AJ5eI5OnqOPBNLWSHKh2a30DoXe8/edit?usp=sharing"",""ตรัง!J423"")"),0)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IFERROR(__xludf.DUMMYFUNCTION("IMPORTRANGE(""https://docs.google.com/spreadsheets/d/1IYY_tgx_IHuhSq3AJ5eI5OnqOPBNLWSHKh2a30DoXe8/edit?usp=sharing"",""ตรัง!I424"")"),0)</f>
        <v>0</v>
      </c>
      <c r="J529" s="204">
        <f ca="1">IFERROR(__xludf.DUMMYFUNCTION("IMPORTRANGE(""https://docs.google.com/spreadsheets/d/1IYY_tgx_IHuhSq3AJ5eI5OnqOPBNLWSHKh2a30DoXe8/edit?usp=sharing"",""ตรัง!J424"")"),0)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IFERROR(__xludf.DUMMYFUNCTION("IMPORTRANGE(""https://docs.google.com/spreadsheets/d/1IYY_tgx_IHuhSq3AJ5eI5OnqOPBNLWSHKh2a30DoXe8/edit?usp=sharing"",""ตรัง!I425"")"),0)</f>
        <v>0</v>
      </c>
      <c r="J530" s="204">
        <f ca="1">IFERROR(__xludf.DUMMYFUNCTION("IMPORTRANGE(""https://docs.google.com/spreadsheets/d/1IYY_tgx_IHuhSq3AJ5eI5OnqOPBNLWSHKh2a30DoXe8/edit?usp=sharing"",""ตรัง!J425"")"),0)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IFERROR(__xludf.DUMMYFUNCTION("IMPORTRANGE(""https://docs.google.com/spreadsheets/d/1IYY_tgx_IHuhSq3AJ5eI5OnqOPBNLWSHKh2a30DoXe8/edit?usp=sharing"",""ตรัง!I426"")"),0)</f>
        <v>0</v>
      </c>
      <c r="J531" s="204">
        <f ca="1">IFERROR(__xludf.DUMMYFUNCTION("IMPORTRANGE(""https://docs.google.com/spreadsheets/d/1IYY_tgx_IHuhSq3AJ5eI5OnqOPBNLWSHKh2a30DoXe8/edit?usp=sharing"",""ตรัง!J426"")"),0)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IFERROR(__xludf.DUMMYFUNCTION("IMPORTRANGE(""https://docs.google.com/spreadsheets/d/1IYY_tgx_IHuhSq3AJ5eI5OnqOPBNLWSHKh2a30DoXe8/edit?usp=sharing"",""ตรัง!I427"")"),0)</f>
        <v>0</v>
      </c>
      <c r="J532" s="472">
        <f ca="1">IFERROR(__xludf.DUMMYFUNCTION("IMPORTRANGE(""https://docs.google.com/spreadsheets/d/1IYY_tgx_IHuhSq3AJ5eI5OnqOPBNLWSHKh2a30DoXe8/edit?usp=sharing"",""ตรัง!J427"")"),0)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IFERROR(__xludf.DUMMYFUNCTION("IMPORTRANGE(""https://docs.google.com/spreadsheets/d/1IYY_tgx_IHuhSq3AJ5eI5OnqOPBNLWSHKh2a30DoXe8/edit?usp=sharing"",""ตรัง!I428"")"),22)</f>
        <v>22</v>
      </c>
      <c r="J533" s="416">
        <f ca="1">IFERROR(__xludf.DUMMYFUNCTION("IMPORTRANGE(""https://docs.google.com/spreadsheets/d/1IYY_tgx_IHuhSq3AJ5eI5OnqOPBNLWSHKh2a30DoXe8/edit?usp=sharing"",""ตรัง!J428"")"),22)</f>
        <v>22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IFERROR(__xludf.DUMMYFUNCTION("IMPORTRANGE(""https://docs.google.com/spreadsheets/d/1IYY_tgx_IHuhSq3AJ5eI5OnqOPBNLWSHKh2a30DoXe8/edit?usp=sharing"",""ตรัง!L428"")"),34340)</f>
        <v>34340</v>
      </c>
      <c r="M533" s="418"/>
      <c r="N533" s="418">
        <f ca="1">IFERROR(__xludf.DUMMYFUNCTION("IMPORTRANGE(""https://docs.google.com/spreadsheets/d/1IYY_tgx_IHuhSq3AJ5eI5OnqOPBNLWSHKh2a30DoXe8/edit?usp=sharing"",""ตรัง!M428"")"),21539.48)</f>
        <v>21539.48</v>
      </c>
      <c r="O533" s="418">
        <f t="shared" ref="O533:O537" ca="1" si="118">+IF(L533&gt;0,N533*100/L533,0)</f>
        <v>62.724170064065227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IFERROR(__xludf.DUMMYFUNCTION("IMPORTRANGE(""https://docs.google.com/spreadsheets/d/1IYY_tgx_IHuhSq3AJ5eI5OnqOPBNLWSHKh2a30DoXe8/edit?usp=sharing"",""ตรัง!L429"")"),0)</f>
        <v>0</v>
      </c>
      <c r="M534" s="168"/>
      <c r="N534" s="175">
        <f ca="1">IFERROR(__xludf.DUMMYFUNCTION("IMPORTRANGE(""https://docs.google.com/spreadsheets/d/1IYY_tgx_IHuhSq3AJ5eI5OnqOPBNLWSHKh2a30DoXe8/edit?usp=sharing"",""ตรัง!M429"")"),0)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IFERROR(__xludf.DUMMYFUNCTION("IMPORTRANGE(""https://docs.google.com/spreadsheets/d/1IYY_tgx_IHuhSq3AJ5eI5OnqOPBNLWSHKh2a30DoXe8/edit?usp=sharing"",""ตรัง!L430"")"),34340)</f>
        <v>34340</v>
      </c>
      <c r="M535" s="169"/>
      <c r="N535" s="175">
        <f ca="1">IFERROR(__xludf.DUMMYFUNCTION("IMPORTRANGE(""https://docs.google.com/spreadsheets/d/1IYY_tgx_IHuhSq3AJ5eI5OnqOPBNLWSHKh2a30DoXe8/edit?usp=sharing"",""ตรัง!M430"")"),21539.48)</f>
        <v>21539.48</v>
      </c>
      <c r="O535" s="175">
        <f t="shared" ca="1" si="118"/>
        <v>62.724170064065227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IFERROR(__xludf.DUMMYFUNCTION("IMPORTRANGE(""https://docs.google.com/spreadsheets/d/1IYY_tgx_IHuhSq3AJ5eI5OnqOPBNLWSHKh2a30DoXe8/edit?usp=sharing"",""ตรัง!L431"")"),0)</f>
        <v>0</v>
      </c>
      <c r="M536" s="175"/>
      <c r="N536" s="175">
        <f ca="1">IFERROR(__xludf.DUMMYFUNCTION("IMPORTRANGE(""https://docs.google.com/spreadsheets/d/1IYY_tgx_IHuhSq3AJ5eI5OnqOPBNLWSHKh2a30DoXe8/edit?usp=sharing"",""ตรัง!M431"")"),0)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IFERROR(__xludf.DUMMYFUNCTION("IMPORTRANGE(""https://docs.google.com/spreadsheets/d/1IYY_tgx_IHuhSq3AJ5eI5OnqOPBNLWSHKh2a30DoXe8/edit?usp=sharing"",""ตรัง!L432"")"),34340)</f>
        <v>34340</v>
      </c>
      <c r="M537" s="175"/>
      <c r="N537" s="175">
        <f ca="1">IFERROR(__xludf.DUMMYFUNCTION("IMPORTRANGE(""https://docs.google.com/spreadsheets/d/1IYY_tgx_IHuhSq3AJ5eI5OnqOPBNLWSHKh2a30DoXe8/edit?usp=sharing"",""ตรัง!M432"")"),21539.48)</f>
        <v>21539.48</v>
      </c>
      <c r="O537" s="175">
        <f t="shared" ca="1" si="118"/>
        <v>62.724170064065227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IFERROR(__xludf.DUMMYFUNCTION("IMPORTRANGE(""https://docs.google.com/spreadsheets/d/1IYY_tgx_IHuhSq3AJ5eI5OnqOPBNLWSHKh2a30DoXe8/edit?usp=sharing"",""ตรัง!M433"")"),21059.48)</f>
        <v>21059.48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IFERROR(__xludf.DUMMYFUNCTION("IMPORTRANGE(""https://docs.google.com/spreadsheets/d/1IYY_tgx_IHuhSq3AJ5eI5OnqOPBNLWSHKh2a30DoXe8/edit?usp=sharing"",""ตรัง!M434"")"),0)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IFERROR(__xludf.DUMMYFUNCTION("IMPORTRANGE(""https://docs.google.com/spreadsheets/d/1IYY_tgx_IHuhSq3AJ5eI5OnqOPBNLWSHKh2a30DoXe8/edit?usp=sharing"",""ตรัง!M435"")"),0)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IFERROR(__xludf.DUMMYFUNCTION("IMPORTRANGE(""https://docs.google.com/spreadsheets/d/1IYY_tgx_IHuhSq3AJ5eI5OnqOPBNLWSHKh2a30DoXe8/edit?usp=sharing"",""ตรัง!M436"")"),480)</f>
        <v>480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IFERROR(__xludf.DUMMYFUNCTION("IMPORTRANGE(""https://docs.google.com/spreadsheets/d/1IYY_tgx_IHuhSq3AJ5eI5OnqOPBNLWSHKh2a30DoXe8/edit?usp=sharing"",""ตรัง!J438"")"),0)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IFERROR(__xludf.DUMMYFUNCTION("IMPORTRANGE(""https://docs.google.com/spreadsheets/d/1IYY_tgx_IHuhSq3AJ5eI5OnqOPBNLWSHKh2a30DoXe8/edit?usp=sharing"",""ตรัง!J439"")"),1)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IFERROR(__xludf.DUMMYFUNCTION("IMPORTRANGE(""https://docs.google.com/spreadsheets/d/1IYY_tgx_IHuhSq3AJ5eI5OnqOPBNLWSHKh2a30DoXe8/edit?usp=sharing"",""ตรัง!J440"")"),1)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IFERROR(__xludf.DUMMYFUNCTION("IMPORTRANGE(""https://docs.google.com/spreadsheets/d/1IYY_tgx_IHuhSq3AJ5eI5OnqOPBNLWSHKh2a30DoXe8/edit?usp=sharing"",""ตรัง!J441"")"),1)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IFERROR(__xludf.DUMMYFUNCTION("IMPORTRANGE(""https://docs.google.com/spreadsheets/d/1IYY_tgx_IHuhSq3AJ5eI5OnqOPBNLWSHKh2a30DoXe8/edit?usp=sharing"",""ตรัง!I442"")"),22)</f>
        <v>22</v>
      </c>
      <c r="J547" s="195">
        <f ca="1">IFERROR(__xludf.DUMMYFUNCTION("IMPORTRANGE(""https://docs.google.com/spreadsheets/d/1IYY_tgx_IHuhSq3AJ5eI5OnqOPBNLWSHKh2a30DoXe8/edit?usp=sharing"",""ตรัง!J442"")"),22)</f>
        <v>22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IFERROR(__xludf.DUMMYFUNCTION("IMPORTRANGE(""https://docs.google.com/spreadsheets/d/1IYY_tgx_IHuhSq3AJ5eI5OnqOPBNLWSHKh2a30DoXe8/edit?usp=sharing"",""ตรัง!J166"")"),0)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IFERROR(__xludf.DUMMYFUNCTION("IMPORTRANGE(""https://docs.google.com/spreadsheets/d/1IYY_tgx_IHuhSq3AJ5eI5OnqOPBNLWSHKh2a30DoXe8/edit?usp=sharing"",""ตรัง!J444"")"),0)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IFERROR(__xludf.DUMMYFUNCTION("IMPORTRANGE(""https://docs.google.com/spreadsheets/d/1IYY_tgx_IHuhSq3AJ5eI5OnqOPBNLWSHKh2a30DoXe8/edit?usp=sharing"",""ตรัง!J445"")"),0)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IFERROR(__xludf.DUMMYFUNCTION("IMPORTRANGE(""https://docs.google.com/spreadsheets/d/1IYY_tgx_IHuhSq3AJ5eI5OnqOPBNLWSHKh2a30DoXe8/edit?usp=sharing"",""ตรัง!I446"")"),0)</f>
        <v>0</v>
      </c>
      <c r="J551" s="416">
        <f ca="1">IFERROR(__xludf.DUMMYFUNCTION("IMPORTRANGE(""https://docs.google.com/spreadsheets/d/1IYY_tgx_IHuhSq3AJ5eI5OnqOPBNLWSHKh2a30DoXe8/edit?usp=sharing"",""ตรัง!J446"")"),0)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IFERROR(__xludf.DUMMYFUNCTION("IMPORTRANGE(""https://docs.google.com/spreadsheets/d/1IYY_tgx_IHuhSq3AJ5eI5OnqOPBNLWSHKh2a30DoXe8/edit?usp=sharing"",""ตรัง!L446"")"),0)</f>
        <v>0</v>
      </c>
      <c r="M551" s="418"/>
      <c r="N551" s="418">
        <f ca="1">IFERROR(__xludf.DUMMYFUNCTION("IMPORTRANGE(""https://docs.google.com/spreadsheets/d/1IYY_tgx_IHuhSq3AJ5eI5OnqOPBNLWSHKh2a30DoXe8/edit?usp=sharing"",""ตรัง!M446"")"),0)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IFERROR(__xludf.DUMMYFUNCTION("IMPORTRANGE(""https://docs.google.com/spreadsheets/d/1IYY_tgx_IHuhSq3AJ5eI5OnqOPBNLWSHKh2a30DoXe8/edit?usp=sharing"",""ตรัง!L447"")"),0)</f>
        <v>0</v>
      </c>
      <c r="M552" s="168"/>
      <c r="N552" s="175">
        <f ca="1">IFERROR(__xludf.DUMMYFUNCTION("IMPORTRANGE(""https://docs.google.com/spreadsheets/d/1IYY_tgx_IHuhSq3AJ5eI5OnqOPBNLWSHKh2a30DoXe8/edit?usp=sharing"",""ตรัง!M447"")"),0)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IFERROR(__xludf.DUMMYFUNCTION("IMPORTRANGE(""https://docs.google.com/spreadsheets/d/1IYY_tgx_IHuhSq3AJ5eI5OnqOPBNLWSHKh2a30DoXe8/edit?usp=sharing"",""ตรัง!L448"")"),0)</f>
        <v>0</v>
      </c>
      <c r="M553" s="169"/>
      <c r="N553" s="175">
        <f ca="1">IFERROR(__xludf.DUMMYFUNCTION("IMPORTRANGE(""https://docs.google.com/spreadsheets/d/1IYY_tgx_IHuhSq3AJ5eI5OnqOPBNLWSHKh2a30DoXe8/edit?usp=sharing"",""ตรัง!M448"")"),0)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IFERROR(__xludf.DUMMYFUNCTION("IMPORTRANGE(""https://docs.google.com/spreadsheets/d/1IYY_tgx_IHuhSq3AJ5eI5OnqOPBNLWSHKh2a30DoXe8/edit?usp=sharing"",""ตรัง!L449"")"),0)</f>
        <v>0</v>
      </c>
      <c r="M554" s="175"/>
      <c r="N554" s="175">
        <f ca="1">IFERROR(__xludf.DUMMYFUNCTION("IMPORTRANGE(""https://docs.google.com/spreadsheets/d/1IYY_tgx_IHuhSq3AJ5eI5OnqOPBNLWSHKh2a30DoXe8/edit?usp=sharing"",""ตรัง!M449"")"),0)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IFERROR(__xludf.DUMMYFUNCTION("IMPORTRANGE(""https://docs.google.com/spreadsheets/d/1IYY_tgx_IHuhSq3AJ5eI5OnqOPBNLWSHKh2a30DoXe8/edit?usp=sharing"",""ตรัง!L450"")"),0)</f>
        <v>0</v>
      </c>
      <c r="M555" s="175"/>
      <c r="N555" s="175">
        <f ca="1">IFERROR(__xludf.DUMMYFUNCTION("IMPORTRANGE(""https://docs.google.com/spreadsheets/d/1IYY_tgx_IHuhSq3AJ5eI5OnqOPBNLWSHKh2a30DoXe8/edit?usp=sharing"",""ตรัง!M450"")"),0)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IFERROR(__xludf.DUMMYFUNCTION("IMPORTRANGE(""https://docs.google.com/spreadsheets/d/1IYY_tgx_IHuhSq3AJ5eI5OnqOPBNLWSHKh2a30DoXe8/edit?usp=sharing"",""ตรัง!M451"")"),0)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IFERROR(__xludf.DUMMYFUNCTION("IMPORTRANGE(""https://docs.google.com/spreadsheets/d/1IYY_tgx_IHuhSq3AJ5eI5OnqOPBNLWSHKh2a30DoXe8/edit?usp=sharing"",""ตรัง!M452"")"),0)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IFERROR(__xludf.DUMMYFUNCTION("IMPORTRANGE(""https://docs.google.com/spreadsheets/d/1IYY_tgx_IHuhSq3AJ5eI5OnqOPBNLWSHKh2a30DoXe8/edit?usp=sharing"",""ตรัง!M453"")"),0)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IFERROR(__xludf.DUMMYFUNCTION("IMPORTRANGE(""https://docs.google.com/spreadsheets/d/1IYY_tgx_IHuhSq3AJ5eI5OnqOPBNLWSHKh2a30DoXe8/edit?usp=sharing"",""ตรัง!M454"")"),0)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IFERROR(__xludf.DUMMYFUNCTION("IMPORTRANGE(""https://docs.google.com/spreadsheets/d/1IYY_tgx_IHuhSq3AJ5eI5OnqOPBNLWSHKh2a30DoXe8/edit?usp=sharing"",""ตรัง!I455"")"),0)</f>
        <v>0</v>
      </c>
      <c r="J560" s="166">
        <f ca="1">IFERROR(__xludf.DUMMYFUNCTION("IMPORTRANGE(""https://docs.google.com/spreadsheets/d/1IYY_tgx_IHuhSq3AJ5eI5OnqOPBNLWSHKh2a30DoXe8/edit?usp=sharing"",""ตรัง!J455"")"),0)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IFERROR(__xludf.DUMMYFUNCTION("IMPORTRANGE(""https://docs.google.com/spreadsheets/d/1IYY_tgx_IHuhSq3AJ5eI5OnqOPBNLWSHKh2a30DoXe8/edit?usp=sharing"",""ตรัง!I456"")"),0)</f>
        <v>0</v>
      </c>
      <c r="J561" s="210">
        <f ca="1">IFERROR(__xludf.DUMMYFUNCTION("IMPORTRANGE(""https://docs.google.com/spreadsheets/d/1IYY_tgx_IHuhSq3AJ5eI5OnqOPBNLWSHKh2a30DoXe8/edit?usp=sharing"",""ตรัง!J456"")"),0)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IFERROR(__xludf.DUMMYFUNCTION("IMPORTRANGE(""https://docs.google.com/spreadsheets/d/1IYY_tgx_IHuhSq3AJ5eI5OnqOPBNLWSHKh2a30DoXe8/edit?usp=sharing"",""ตรัง!I459"")"),1000)</f>
        <v>1000</v>
      </c>
      <c r="J564" s="377">
        <f ca="1">IFERROR(__xludf.DUMMYFUNCTION("IMPORTRANGE(""https://docs.google.com/spreadsheets/d/1IYY_tgx_IHuhSq3AJ5eI5OnqOPBNLWSHKh2a30DoXe8/edit?usp=sharing"",""ตรัง!J459"")"),2173)</f>
        <v>2173</v>
      </c>
      <c r="K564" s="378">
        <f ca="1">IF(I564&gt;0,J564*100/I564,0)</f>
        <v>217.3</v>
      </c>
      <c r="L564" s="379">
        <f ca="1">IFERROR(__xludf.DUMMYFUNCTION("IMPORTRANGE(""https://docs.google.com/spreadsheets/d/1IYY_tgx_IHuhSq3AJ5eI5OnqOPBNLWSHKh2a30DoXe8/edit?usp=sharing"",""ตรัง!L459"")"),122720)</f>
        <v>122720</v>
      </c>
      <c r="M564" s="379"/>
      <c r="N564" s="379">
        <f ca="1">IFERROR(__xludf.DUMMYFUNCTION("IMPORTRANGE(""https://docs.google.com/spreadsheets/d/1IYY_tgx_IHuhSq3AJ5eI5OnqOPBNLWSHKh2a30DoXe8/edit?usp=sharing"",""ตรัง!M459"")"),76197.6)</f>
        <v>76197.600000000006</v>
      </c>
      <c r="O564" s="379">
        <f t="shared" ref="O564:O568" ca="1" si="122">+IF(L564&gt;0,N564*100/L564,0)</f>
        <v>62.090612777053465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IFERROR(__xludf.DUMMYFUNCTION("IMPORTRANGE(""https://docs.google.com/spreadsheets/d/1IYY_tgx_IHuhSq3AJ5eI5OnqOPBNLWSHKh2a30DoXe8/edit?usp=sharing"",""ตรัง!L460"")"),0)</f>
        <v>0</v>
      </c>
      <c r="M565" s="168"/>
      <c r="N565" s="175">
        <f ca="1">IFERROR(__xludf.DUMMYFUNCTION("IMPORTRANGE(""https://docs.google.com/spreadsheets/d/1IYY_tgx_IHuhSq3AJ5eI5OnqOPBNLWSHKh2a30DoXe8/edit?usp=sharing"",""ตรัง!M460"")"),0)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IFERROR(__xludf.DUMMYFUNCTION("IMPORTRANGE(""https://docs.google.com/spreadsheets/d/1IYY_tgx_IHuhSq3AJ5eI5OnqOPBNLWSHKh2a30DoXe8/edit?usp=sharing"",""ตรัง!L461"")"),122720)</f>
        <v>122720</v>
      </c>
      <c r="M566" s="169"/>
      <c r="N566" s="175">
        <f ca="1">IFERROR(__xludf.DUMMYFUNCTION("IMPORTRANGE(""https://docs.google.com/spreadsheets/d/1IYY_tgx_IHuhSq3AJ5eI5OnqOPBNLWSHKh2a30DoXe8/edit?usp=sharing"",""ตรัง!M461"")"),76197.6)</f>
        <v>76197.600000000006</v>
      </c>
      <c r="O566" s="175">
        <f t="shared" ca="1" si="122"/>
        <v>62.090612777053465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IFERROR(__xludf.DUMMYFUNCTION("IMPORTRANGE(""https://docs.google.com/spreadsheets/d/1IYY_tgx_IHuhSq3AJ5eI5OnqOPBNLWSHKh2a30DoXe8/edit?usp=sharing"",""ตรัง!L462"")"),0)</f>
        <v>0</v>
      </c>
      <c r="M567" s="175"/>
      <c r="N567" s="175">
        <f ca="1">IFERROR(__xludf.DUMMYFUNCTION("IMPORTRANGE(""https://docs.google.com/spreadsheets/d/1IYY_tgx_IHuhSq3AJ5eI5OnqOPBNLWSHKh2a30DoXe8/edit?usp=sharing"",""ตรัง!M462"")"),0)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IFERROR(__xludf.DUMMYFUNCTION("IMPORTRANGE(""https://docs.google.com/spreadsheets/d/1IYY_tgx_IHuhSq3AJ5eI5OnqOPBNLWSHKh2a30DoXe8/edit?usp=sharing"",""ตรัง!L463"")"),122720)</f>
        <v>122720</v>
      </c>
      <c r="M568" s="175"/>
      <c r="N568" s="175">
        <f ca="1">IFERROR(__xludf.DUMMYFUNCTION("IMPORTRANGE(""https://docs.google.com/spreadsheets/d/1IYY_tgx_IHuhSq3AJ5eI5OnqOPBNLWSHKh2a30DoXe8/edit?usp=sharing"",""ตรัง!M463"")"),76197.6)</f>
        <v>76197.600000000006</v>
      </c>
      <c r="O568" s="175">
        <f t="shared" ca="1" si="122"/>
        <v>62.090612777053465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IFERROR(__xludf.DUMMYFUNCTION("IMPORTRANGE(""https://docs.google.com/spreadsheets/d/1IYY_tgx_IHuhSq3AJ5eI5OnqOPBNLWSHKh2a30DoXe8/edit?usp=sharing"",""ตรัง!M464"")"),0)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IFERROR(__xludf.DUMMYFUNCTION("IMPORTRANGE(""https://docs.google.com/spreadsheets/d/1IYY_tgx_IHuhSq3AJ5eI5OnqOPBNLWSHKh2a30DoXe8/edit?usp=sharing"",""ตรัง!M465"")"),0)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IFERROR(__xludf.DUMMYFUNCTION("IMPORTRANGE(""https://docs.google.com/spreadsheets/d/1IYY_tgx_IHuhSq3AJ5eI5OnqOPBNLWSHKh2a30DoXe8/edit?usp=sharing"",""ตรัง!M466"")"),63788)</f>
        <v>63788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IFERROR(__xludf.DUMMYFUNCTION("IMPORTRANGE(""https://docs.google.com/spreadsheets/d/1IYY_tgx_IHuhSq3AJ5eI5OnqOPBNLWSHKh2a30DoXe8/edit?usp=sharing"",""ตรัง!M467"")"),12409.6)</f>
        <v>12409.6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IFERROR(__xludf.DUMMYFUNCTION("IMPORTRANGE(""https://docs.google.com/spreadsheets/d/1IYY_tgx_IHuhSq3AJ5eI5OnqOPBNLWSHKh2a30DoXe8/edit?usp=sharing"",""ตรัง!I468"")"),1000)</f>
        <v>1000</v>
      </c>
      <c r="J573" s="426">
        <f ca="1">IFERROR(__xludf.DUMMYFUNCTION("IMPORTRANGE(""https://docs.google.com/spreadsheets/d/1IYY_tgx_IHuhSq3AJ5eI5OnqOPBNLWSHKh2a30DoXe8/edit?usp=sharing"",""ตรัง!J468"")"),2173)</f>
        <v>2173</v>
      </c>
      <c r="K573" s="208">
        <f ca="1">IF(I573&gt;0,J573*100/I573,0)</f>
        <v>217.3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IFERROR(__xludf.DUMMYFUNCTION("IMPORTRANGE(""https://docs.google.com/spreadsheets/d/1IYY_tgx_IHuhSq3AJ5eI5OnqOPBNLWSHKh2a30DoXe8/edit?usp=sharing"",""ตรัง!I470"")"),0)</f>
        <v>0</v>
      </c>
      <c r="J575" s="204">
        <f ca="1">IFERROR(__xludf.DUMMYFUNCTION("IMPORTRANGE(""https://docs.google.com/spreadsheets/d/1IYY_tgx_IHuhSq3AJ5eI5OnqOPBNLWSHKh2a30DoXe8/edit?usp=sharing"",""ตรัง!J470"")"),3)</f>
        <v>3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IFERROR(__xludf.DUMMYFUNCTION("IMPORTRANGE(""https://docs.google.com/spreadsheets/d/1IYY_tgx_IHuhSq3AJ5eI5OnqOPBNLWSHKh2a30DoXe8/edit?usp=sharing"",""ตรัง!I471"")"),0)</f>
        <v>0</v>
      </c>
      <c r="J576" s="204">
        <f ca="1">IFERROR(__xludf.DUMMYFUNCTION("IMPORTRANGE(""https://docs.google.com/spreadsheets/d/1IYY_tgx_IHuhSq3AJ5eI5OnqOPBNLWSHKh2a30DoXe8/edit?usp=sharing"",""ตรัง!J471"")"),143)</f>
        <v>143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IFERROR(__xludf.DUMMYFUNCTION("IMPORTRANGE(""https://docs.google.com/spreadsheets/d/1IYY_tgx_IHuhSq3AJ5eI5OnqOPBNLWSHKh2a30DoXe8/edit?usp=sharing"",""ตรัง!I472"")"),0)</f>
        <v>0</v>
      </c>
      <c r="J577" s="195">
        <f ca="1">IFERROR(__xludf.DUMMYFUNCTION("IMPORTRANGE(""https://docs.google.com/spreadsheets/d/1IYY_tgx_IHuhSq3AJ5eI5OnqOPBNLWSHKh2a30DoXe8/edit?usp=sharing"",""ตรัง!J472"")"),2030)</f>
        <v>2030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IFERROR(__xludf.DUMMYFUNCTION("IMPORTRANGE(""https://docs.google.com/spreadsheets/d/1IYY_tgx_IHuhSq3AJ5eI5OnqOPBNLWSHKh2a30DoXe8/edit?usp=sharing"",""ตรัง!I473"")"),0)</f>
        <v>0</v>
      </c>
      <c r="J578" s="204">
        <f ca="1">IFERROR(__xludf.DUMMYFUNCTION("IMPORTRANGE(""https://docs.google.com/spreadsheets/d/1IYY_tgx_IHuhSq3AJ5eI5OnqOPBNLWSHKh2a30DoXe8/edit?usp=sharing"",""ตรัง!J473"")"),0)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IFERROR(__xludf.DUMMYFUNCTION("IMPORTRANGE(""https://docs.google.com/spreadsheets/d/1IYY_tgx_IHuhSq3AJ5eI5OnqOPBNLWSHKh2a30DoXe8/edit?usp=sharing"",""ตรัง!I474"")"),0)</f>
        <v>0</v>
      </c>
      <c r="J579" s="204">
        <f ca="1">IFERROR(__xludf.DUMMYFUNCTION("IMPORTRANGE(""https://docs.google.com/spreadsheets/d/1IYY_tgx_IHuhSq3AJ5eI5OnqOPBNLWSHKh2a30DoXe8/edit?usp=sharing"",""ตรัง!J474"")"),0)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IFERROR(__xludf.DUMMYFUNCTION("IMPORTRANGE(""https://docs.google.com/spreadsheets/d/1IYY_tgx_IHuhSq3AJ5eI5OnqOPBNLWSHKh2a30DoXe8/edit?usp=sharing"",""ตรัง!I475"")"),0)</f>
        <v>0</v>
      </c>
      <c r="J580" s="377">
        <f ca="1">IFERROR(__xludf.DUMMYFUNCTION("IMPORTRANGE(""https://docs.google.com/spreadsheets/d/1IYY_tgx_IHuhSq3AJ5eI5OnqOPBNLWSHKh2a30DoXe8/edit?usp=sharing"",""ตรัง!J475"")"),0)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IFERROR(__xludf.DUMMYFUNCTION("IMPORTRANGE(""https://docs.google.com/spreadsheets/d/1IYY_tgx_IHuhSq3AJ5eI5OnqOPBNLWSHKh2a30DoXe8/edit?usp=sharing"",""ตรัง!L475"")"),0)</f>
        <v>0</v>
      </c>
      <c r="M580" s="379"/>
      <c r="N580" s="379">
        <f ca="1">IFERROR(__xludf.DUMMYFUNCTION("IMPORTRANGE(""https://docs.google.com/spreadsheets/d/1IYY_tgx_IHuhSq3AJ5eI5OnqOPBNLWSHKh2a30DoXe8/edit?usp=sharing"",""ตรัง!M475"")"),0)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IFERROR(__xludf.DUMMYFUNCTION("IMPORTRANGE(""https://docs.google.com/spreadsheets/d/1IYY_tgx_IHuhSq3AJ5eI5OnqOPBNLWSHKh2a30DoXe8/edit?usp=sharing"",""ตรัง!L476"")"),0)</f>
        <v>0</v>
      </c>
      <c r="M581" s="168"/>
      <c r="N581" s="175">
        <f ca="1">IFERROR(__xludf.DUMMYFUNCTION("IMPORTRANGE(""https://docs.google.com/spreadsheets/d/1IYY_tgx_IHuhSq3AJ5eI5OnqOPBNLWSHKh2a30DoXe8/edit?usp=sharing"",""ตรัง!M476"")"),0)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IFERROR(__xludf.DUMMYFUNCTION("IMPORTRANGE(""https://docs.google.com/spreadsheets/d/1IYY_tgx_IHuhSq3AJ5eI5OnqOPBNLWSHKh2a30DoXe8/edit?usp=sharing"",""ตรัง!L477"")"),0)</f>
        <v>0</v>
      </c>
      <c r="M582" s="169"/>
      <c r="N582" s="175">
        <f ca="1">IFERROR(__xludf.DUMMYFUNCTION("IMPORTRANGE(""https://docs.google.com/spreadsheets/d/1IYY_tgx_IHuhSq3AJ5eI5OnqOPBNLWSHKh2a30DoXe8/edit?usp=sharing"",""ตรัง!M477"")"),0)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IFERROR(__xludf.DUMMYFUNCTION("IMPORTRANGE(""https://docs.google.com/spreadsheets/d/1IYY_tgx_IHuhSq3AJ5eI5OnqOPBNLWSHKh2a30DoXe8/edit?usp=sharing"",""ตรัง!L478"")"),0)</f>
        <v>0</v>
      </c>
      <c r="M583" s="175"/>
      <c r="N583" s="175">
        <f ca="1">IFERROR(__xludf.DUMMYFUNCTION("IMPORTRANGE(""https://docs.google.com/spreadsheets/d/1IYY_tgx_IHuhSq3AJ5eI5OnqOPBNLWSHKh2a30DoXe8/edit?usp=sharing"",""ตรัง!M478"")"),0)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IFERROR(__xludf.DUMMYFUNCTION("IMPORTRANGE(""https://docs.google.com/spreadsheets/d/1IYY_tgx_IHuhSq3AJ5eI5OnqOPBNLWSHKh2a30DoXe8/edit?usp=sharing"",""ตรัง!L479"")"),0)</f>
        <v>0</v>
      </c>
      <c r="M584" s="175"/>
      <c r="N584" s="175">
        <f ca="1">IFERROR(__xludf.DUMMYFUNCTION("IMPORTRANGE(""https://docs.google.com/spreadsheets/d/1IYY_tgx_IHuhSq3AJ5eI5OnqOPBNLWSHKh2a30DoXe8/edit?usp=sharing"",""ตรัง!M479"")"),0)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IFERROR(__xludf.DUMMYFUNCTION("IMPORTRANGE(""https://docs.google.com/spreadsheets/d/1IYY_tgx_IHuhSq3AJ5eI5OnqOPBNLWSHKh2a30DoXe8/edit?usp=sharing"",""ตรัง!M480"")"),0)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IFERROR(__xludf.DUMMYFUNCTION("IMPORTRANGE(""https://docs.google.com/spreadsheets/d/1IYY_tgx_IHuhSq3AJ5eI5OnqOPBNLWSHKh2a30DoXe8/edit?usp=sharing"",""ตรัง!M481"")"),0)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IFERROR(__xludf.DUMMYFUNCTION("IMPORTRANGE(""https://docs.google.com/spreadsheets/d/1IYY_tgx_IHuhSq3AJ5eI5OnqOPBNLWSHKh2a30DoXe8/edit?usp=sharing"",""ตรัง!M482"")"),0)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IFERROR(__xludf.DUMMYFUNCTION("IMPORTRANGE(""https://docs.google.com/spreadsheets/d/1IYY_tgx_IHuhSq3AJ5eI5OnqOPBNLWSHKh2a30DoXe8/edit?usp=sharing"",""ตรัง!M483"")"),0)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IFERROR(__xludf.DUMMYFUNCTION("IMPORTRANGE(""https://docs.google.com/spreadsheets/d/1IYY_tgx_IHuhSq3AJ5eI5OnqOPBNLWSHKh2a30DoXe8/edit?usp=sharing"",""ตรัง!I484"")"),0)</f>
        <v>0</v>
      </c>
      <c r="J589" s="194">
        <f ca="1">IFERROR(__xludf.DUMMYFUNCTION("IMPORTRANGE(""https://docs.google.com/spreadsheets/d/1IYY_tgx_IHuhSq3AJ5eI5OnqOPBNLWSHKh2a30DoXe8/edit?usp=sharing"",""ตรัง!J484"")"),0)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IFERROR(__xludf.DUMMYFUNCTION("IMPORTRANGE(""https://docs.google.com/spreadsheets/d/1IYY_tgx_IHuhSq3AJ5eI5OnqOPBNLWSHKh2a30DoXe8/edit?usp=sharing"",""ตรัง!I485"")"),0)</f>
        <v>0</v>
      </c>
      <c r="J590" s="194">
        <f ca="1">IFERROR(__xludf.DUMMYFUNCTION("IMPORTRANGE(""https://docs.google.com/spreadsheets/d/1IYY_tgx_IHuhSq3AJ5eI5OnqOPBNLWSHKh2a30DoXe8/edit?usp=sharing"",""ตรัง!J485"")"),0)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IFERROR(__xludf.DUMMYFUNCTION("IMPORTRANGE(""https://docs.google.com/spreadsheets/d/1IYY_tgx_IHuhSq3AJ5eI5OnqOPBNLWSHKh2a30DoXe8/edit?usp=sharing"",""ตรัง!I486"")"),0)</f>
        <v>0</v>
      </c>
      <c r="J591" s="194">
        <f ca="1">IFERROR(__xludf.DUMMYFUNCTION("IMPORTRANGE(""https://docs.google.com/spreadsheets/d/1IYY_tgx_IHuhSq3AJ5eI5OnqOPBNLWSHKh2a30DoXe8/edit?usp=sharing"",""ตรัง!J486"")"),0)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IFERROR(__xludf.DUMMYFUNCTION("IMPORTRANGE(""https://docs.google.com/spreadsheets/d/1IYY_tgx_IHuhSq3AJ5eI5OnqOPBNLWSHKh2a30DoXe8/edit?usp=sharing"",""ตรัง!I487"")"),0)</f>
        <v>0</v>
      </c>
      <c r="J592" s="194">
        <f ca="1">IFERROR(__xludf.DUMMYFUNCTION("IMPORTRANGE(""https://docs.google.com/spreadsheets/d/1IYY_tgx_IHuhSq3AJ5eI5OnqOPBNLWSHKh2a30DoXe8/edit?usp=sharing"",""ตรัง!J487"")"),0)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IFERROR(__xludf.DUMMYFUNCTION("IMPORTRANGE(""https://docs.google.com/spreadsheets/d/1IYY_tgx_IHuhSq3AJ5eI5OnqOPBNLWSHKh2a30DoXe8/edit?usp=sharing"",""ตรัง!I488"")"),0)</f>
        <v>0</v>
      </c>
      <c r="J593" s="194">
        <f ca="1">IFERROR(__xludf.DUMMYFUNCTION("IMPORTRANGE(""https://docs.google.com/spreadsheets/d/1IYY_tgx_IHuhSq3AJ5eI5OnqOPBNLWSHKh2a30DoXe8/edit?usp=sharing"",""ตรัง!J488"")"),0)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IFERROR(__xludf.DUMMYFUNCTION("IMPORTRANGE(""https://docs.google.com/spreadsheets/d/1IYY_tgx_IHuhSq3AJ5eI5OnqOPBNLWSHKh2a30DoXe8/edit?usp=sharing"",""ตรัง!I489"")"),0)</f>
        <v>0</v>
      </c>
      <c r="J594" s="194">
        <f ca="1">IFERROR(__xludf.DUMMYFUNCTION("IMPORTRANGE(""https://docs.google.com/spreadsheets/d/1IYY_tgx_IHuhSq3AJ5eI5OnqOPBNLWSHKh2a30DoXe8/edit?usp=sharing"",""ตรัง!J489"")"),0)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IFERROR(__xludf.DUMMYFUNCTION("IMPORTRANGE(""https://docs.google.com/spreadsheets/d/1IYY_tgx_IHuhSq3AJ5eI5OnqOPBNLWSHKh2a30DoXe8/edit?usp=sharing"",""ตรัง!I490"")"),0)</f>
        <v>0</v>
      </c>
      <c r="J595" s="194">
        <f ca="1">IFERROR(__xludf.DUMMYFUNCTION("IMPORTRANGE(""https://docs.google.com/spreadsheets/d/1IYY_tgx_IHuhSq3AJ5eI5OnqOPBNLWSHKh2a30DoXe8/edit?usp=sharing"",""ตรัง!J490"")"),0)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IFERROR(__xludf.DUMMYFUNCTION("IMPORTRANGE(""https://docs.google.com/spreadsheets/d/1IYY_tgx_IHuhSq3AJ5eI5OnqOPBNLWSHKh2a30DoXe8/edit?usp=sharing"",""ตรัง!I491"")"),0)</f>
        <v>0</v>
      </c>
      <c r="J596" s="247">
        <f ca="1">IFERROR(__xludf.DUMMYFUNCTION("IMPORTRANGE(""https://docs.google.com/spreadsheets/d/1IYY_tgx_IHuhSq3AJ5eI5OnqOPBNLWSHKh2a30DoXe8/edit?usp=sharing"",""ตรัง!J491"")"),0)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IFERROR(__xludf.DUMMYFUNCTION("IMPORTRANGE(""https://docs.google.com/spreadsheets/d/1IYY_tgx_IHuhSq3AJ5eI5OnqOPBNLWSHKh2a30DoXe8/edit?usp=sharing"",""ตรัง!I492"")"),50)</f>
        <v>50</v>
      </c>
      <c r="J597" s="493">
        <f ca="1">IFERROR(__xludf.DUMMYFUNCTION("IMPORTRANGE(""https://docs.google.com/spreadsheets/d/1IYY_tgx_IHuhSq3AJ5eI5OnqOPBNLWSHKh2a30DoXe8/edit?usp=sharing"",""ตรัง!J492"")"),0)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IFERROR(__xludf.DUMMYFUNCTION("IMPORTRANGE(""https://docs.google.com/spreadsheets/d/1IYY_tgx_IHuhSq3AJ5eI5OnqOPBNLWSHKh2a30DoXe8/edit?usp=sharing"",""ตรัง!L492"")"),11750)</f>
        <v>11750</v>
      </c>
      <c r="M597" s="418"/>
      <c r="N597" s="418">
        <f ca="1">IFERROR(__xludf.DUMMYFUNCTION("IMPORTRANGE(""https://docs.google.com/spreadsheets/d/1IYY_tgx_IHuhSq3AJ5eI5OnqOPBNLWSHKh2a30DoXe8/edit?usp=sharing"",""ตรัง!M492"")"),6196.84)</f>
        <v>6196.84</v>
      </c>
      <c r="O597" s="418">
        <f t="shared" ref="O597:O601" ca="1" si="126">+IF(L597&gt;0,N597*100/L597,0)</f>
        <v>52.739063829787234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IFERROR(__xludf.DUMMYFUNCTION("IMPORTRANGE(""https://docs.google.com/spreadsheets/d/1IYY_tgx_IHuhSq3AJ5eI5OnqOPBNLWSHKh2a30DoXe8/edit?usp=sharing"",""ตรัง!L493"")"),0)</f>
        <v>0</v>
      </c>
      <c r="M598" s="168"/>
      <c r="N598" s="175">
        <f ca="1">IFERROR(__xludf.DUMMYFUNCTION("IMPORTRANGE(""https://docs.google.com/spreadsheets/d/1IYY_tgx_IHuhSq3AJ5eI5OnqOPBNLWSHKh2a30DoXe8/edit?usp=sharing"",""ตรัง!M493"")"),0)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IFERROR(__xludf.DUMMYFUNCTION("IMPORTRANGE(""https://docs.google.com/spreadsheets/d/1IYY_tgx_IHuhSq3AJ5eI5OnqOPBNLWSHKh2a30DoXe8/edit?usp=sharing"",""ตรัง!L494"")"),11750)</f>
        <v>11750</v>
      </c>
      <c r="M599" s="169"/>
      <c r="N599" s="175">
        <f ca="1">IFERROR(__xludf.DUMMYFUNCTION("IMPORTRANGE(""https://docs.google.com/spreadsheets/d/1IYY_tgx_IHuhSq3AJ5eI5OnqOPBNLWSHKh2a30DoXe8/edit?usp=sharing"",""ตรัง!M494"")"),6196.84)</f>
        <v>6196.84</v>
      </c>
      <c r="O599" s="175">
        <f t="shared" ca="1" si="126"/>
        <v>52.739063829787234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IFERROR(__xludf.DUMMYFUNCTION("IMPORTRANGE(""https://docs.google.com/spreadsheets/d/1IYY_tgx_IHuhSq3AJ5eI5OnqOPBNLWSHKh2a30DoXe8/edit?usp=sharing"",""ตรัง!L495"")"),0)</f>
        <v>0</v>
      </c>
      <c r="M600" s="175"/>
      <c r="N600" s="175">
        <f ca="1">IFERROR(__xludf.DUMMYFUNCTION("IMPORTRANGE(""https://docs.google.com/spreadsheets/d/1IYY_tgx_IHuhSq3AJ5eI5OnqOPBNLWSHKh2a30DoXe8/edit?usp=sharing"",""ตรัง!M495"")"),0)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IFERROR(__xludf.DUMMYFUNCTION("IMPORTRANGE(""https://docs.google.com/spreadsheets/d/1IYY_tgx_IHuhSq3AJ5eI5OnqOPBNLWSHKh2a30DoXe8/edit?usp=sharing"",""ตรัง!L496"")"),11750)</f>
        <v>11750</v>
      </c>
      <c r="M601" s="175"/>
      <c r="N601" s="175">
        <f ca="1">IFERROR(__xludf.DUMMYFUNCTION("IMPORTRANGE(""https://docs.google.com/spreadsheets/d/1IYY_tgx_IHuhSq3AJ5eI5OnqOPBNLWSHKh2a30DoXe8/edit?usp=sharing"",""ตรัง!M496"")"),6196.84)</f>
        <v>6196.84</v>
      </c>
      <c r="O601" s="175">
        <f t="shared" ca="1" si="126"/>
        <v>52.739063829787234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IFERROR(__xludf.DUMMYFUNCTION("IMPORTRANGE(""https://docs.google.com/spreadsheets/d/1IYY_tgx_IHuhSq3AJ5eI5OnqOPBNLWSHKh2a30DoXe8/edit?usp=sharing"",""ตรัง!M497"")"),0)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IFERROR(__xludf.DUMMYFUNCTION("IMPORTRANGE(""https://docs.google.com/spreadsheets/d/1IYY_tgx_IHuhSq3AJ5eI5OnqOPBNLWSHKh2a30DoXe8/edit?usp=sharing"",""ตรัง!M498"")"),0)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IFERROR(__xludf.DUMMYFUNCTION("IMPORTRANGE(""https://docs.google.com/spreadsheets/d/1IYY_tgx_IHuhSq3AJ5eI5OnqOPBNLWSHKh2a30DoXe8/edit?usp=sharing"",""ตรัง!M499"")"),0)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IFERROR(__xludf.DUMMYFUNCTION("IMPORTRANGE(""https://docs.google.com/spreadsheets/d/1IYY_tgx_IHuhSq3AJ5eI5OnqOPBNLWSHKh2a30DoXe8/edit?usp=sharing"",""ตรัง!M500"")"),6196.84)</f>
        <v>6196.84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IFERROR(__xludf.DUMMYFUNCTION("IMPORTRANGE(""https://docs.google.com/spreadsheets/d/1IYY_tgx_IHuhSq3AJ5eI5OnqOPBNLWSHKh2a30DoXe8/edit?usp=sharing"",""ตรัง!J502"")"),0)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IFERROR(__xludf.DUMMYFUNCTION("IMPORTRANGE(""https://docs.google.com/spreadsheets/d/1IYY_tgx_IHuhSq3AJ5eI5OnqOPBNLWSHKh2a30DoXe8/edit?usp=sharing"",""ตรัง!J503"")"),1)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IFERROR(__xludf.DUMMYFUNCTION("IMPORTRANGE(""https://docs.google.com/spreadsheets/d/1IYY_tgx_IHuhSq3AJ5eI5OnqOPBNLWSHKh2a30DoXe8/edit?usp=sharing"",""ตรัง!J166"")"),0)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IFERROR(__xludf.DUMMYFUNCTION("IMPORTRANGE(""https://docs.google.com/spreadsheets/d/1IYY_tgx_IHuhSq3AJ5eI5OnqOPBNLWSHKh2a30DoXe8/edit?usp=sharing"",""ตรัง!J166"")"),0)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IFERROR(__xludf.DUMMYFUNCTION("IMPORTRANGE(""https://docs.google.com/spreadsheets/d/1IYY_tgx_IHuhSq3AJ5eI5OnqOPBNLWSHKh2a30DoXe8/edit?usp=sharing"",""ตรัง!I506"")"),50)</f>
        <v>50</v>
      </c>
      <c r="J611" s="166">
        <f ca="1">IFERROR(__xludf.DUMMYFUNCTION("IMPORTRANGE(""https://docs.google.com/spreadsheets/d/1IYY_tgx_IHuhSq3AJ5eI5OnqOPBNLWSHKh2a30DoXe8/edit?usp=sharing"",""ตรัง!J506"")"),0)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IFERROR(__xludf.DUMMYFUNCTION("IMPORTRANGE(""https://docs.google.com/spreadsheets/d/1IYY_tgx_IHuhSq3AJ5eI5OnqOPBNLWSHKh2a30DoXe8/edit?usp=sharing"",""ตรัง!I507"")"),0)</f>
        <v>0</v>
      </c>
      <c r="J612" s="204">
        <f ca="1">IFERROR(__xludf.DUMMYFUNCTION("IMPORTRANGE(""https://docs.google.com/spreadsheets/d/1IYY_tgx_IHuhSq3AJ5eI5OnqOPBNLWSHKh2a30DoXe8/edit?usp=sharing"",""ตรัง!J507"")"),0)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IFERROR(__xludf.DUMMYFUNCTION("IMPORTRANGE(""https://docs.google.com/spreadsheets/d/1IYY_tgx_IHuhSq3AJ5eI5OnqOPBNLWSHKh2a30DoXe8/edit?usp=sharing"",""ตรัง!I508"")"),0)</f>
        <v>0</v>
      </c>
      <c r="J613" s="204">
        <f ca="1">IFERROR(__xludf.DUMMYFUNCTION("IMPORTRANGE(""https://docs.google.com/spreadsheets/d/1IYY_tgx_IHuhSq3AJ5eI5OnqOPBNLWSHKh2a30DoXe8/edit?usp=sharing"",""ตรัง!J508"")"),0)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IFERROR(__xludf.DUMMYFUNCTION("IMPORTRANGE(""https://docs.google.com/spreadsheets/d/1IYY_tgx_IHuhSq3AJ5eI5OnqOPBNLWSHKh2a30DoXe8/edit?usp=sharing"",""ตรัง!I509"")"),0)</f>
        <v>0</v>
      </c>
      <c r="J614" s="204">
        <f ca="1">IFERROR(__xludf.DUMMYFUNCTION("IMPORTRANGE(""https://docs.google.com/spreadsheets/d/1IYY_tgx_IHuhSq3AJ5eI5OnqOPBNLWSHKh2a30DoXe8/edit?usp=sharing"",""ตรัง!J509"")"),0)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IFERROR(__xludf.DUMMYFUNCTION("IMPORTRANGE(""https://docs.google.com/spreadsheets/d/1IYY_tgx_IHuhSq3AJ5eI5OnqOPBNLWSHKh2a30DoXe8/edit?usp=sharing"",""ตรัง!I510"")"),0)</f>
        <v>0</v>
      </c>
      <c r="J615" s="204">
        <f ca="1">IFERROR(__xludf.DUMMYFUNCTION("IMPORTRANGE(""https://docs.google.com/spreadsheets/d/1IYY_tgx_IHuhSq3AJ5eI5OnqOPBNLWSHKh2a30DoXe8/edit?usp=sharing"",""ตรัง!J510"")"),0)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IFERROR(__xludf.DUMMYFUNCTION("IMPORTRANGE(""https://docs.google.com/spreadsheets/d/1IYY_tgx_IHuhSq3AJ5eI5OnqOPBNLWSHKh2a30DoXe8/edit?usp=sharing"",""ตรัง!I511"")"),0)</f>
        <v>0</v>
      </c>
      <c r="J616" s="204">
        <f ca="1">IFERROR(__xludf.DUMMYFUNCTION("IMPORTRANGE(""https://docs.google.com/spreadsheets/d/1IYY_tgx_IHuhSq3AJ5eI5OnqOPBNLWSHKh2a30DoXe8/edit?usp=sharing"",""ตรัง!J511"")"),0)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IFERROR(__xludf.DUMMYFUNCTION("IMPORTRANGE(""https://docs.google.com/spreadsheets/d/1IYY_tgx_IHuhSq3AJ5eI5OnqOPBNLWSHKh2a30DoXe8/edit?usp=sharing"",""ตรัง!I512"")"),0)</f>
        <v>0</v>
      </c>
      <c r="J617" s="194">
        <f ca="1">IFERROR(__xludf.DUMMYFUNCTION("IMPORTRANGE(""https://docs.google.com/spreadsheets/d/1IYY_tgx_IHuhSq3AJ5eI5OnqOPBNLWSHKh2a30DoXe8/edit?usp=sharing"",""ตรัง!J512"")"),0)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IFERROR(__xludf.DUMMYFUNCTION("IMPORTRANGE(""https://docs.google.com/spreadsheets/d/1IYY_tgx_IHuhSq3AJ5eI5OnqOPBNLWSHKh2a30DoXe8/edit?usp=sharing"",""ตรัง!I513"")"),0)</f>
        <v>0</v>
      </c>
      <c r="J618" s="195">
        <f ca="1">IFERROR(__xludf.DUMMYFUNCTION("IMPORTRANGE(""https://docs.google.com/spreadsheets/d/1IYY_tgx_IHuhSq3AJ5eI5OnqOPBNLWSHKh2a30DoXe8/edit?usp=sharing"",""ตรัง!J513"")"),0)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IFERROR(__xludf.DUMMYFUNCTION("IMPORTRANGE(""https://docs.google.com/spreadsheets/d/1IYY_tgx_IHuhSq3AJ5eI5OnqOPBNLWSHKh2a30DoXe8/edit?usp=sharing"",""ตรัง!I514"")"),0)</f>
        <v>0</v>
      </c>
      <c r="J619" s="195">
        <f ca="1">IFERROR(__xludf.DUMMYFUNCTION("IMPORTRANGE(""https://docs.google.com/spreadsheets/d/1IYY_tgx_IHuhSq3AJ5eI5OnqOPBNLWSHKh2a30DoXe8/edit?usp=sharing"",""ตรัง!J514"")"),0)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IFERROR(__xludf.DUMMYFUNCTION("IMPORTRANGE(""https://docs.google.com/spreadsheets/d/1IYY_tgx_IHuhSq3AJ5eI5OnqOPBNLWSHKh2a30DoXe8/edit?usp=sharing"",""ตรัง!I515"")"),0)</f>
        <v>0</v>
      </c>
      <c r="J620" s="209">
        <f ca="1">IFERROR(__xludf.DUMMYFUNCTION("IMPORTRANGE(""https://docs.google.com/spreadsheets/d/1IYY_tgx_IHuhSq3AJ5eI5OnqOPBNLWSHKh2a30DoXe8/edit?usp=sharing"",""ตรัง!J515"")"),0)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IFERROR(__xludf.DUMMYFUNCTION("IMPORTRANGE(""https://docs.google.com/spreadsheets/d/1IYY_tgx_IHuhSq3AJ5eI5OnqOPBNLWSHKh2a30DoXe8/edit?usp=sharing"",""ตรัง!I516"")"),0)</f>
        <v>0</v>
      </c>
      <c r="J621" s="209">
        <f ca="1">IFERROR(__xludf.DUMMYFUNCTION("IMPORTRANGE(""https://docs.google.com/spreadsheets/d/1IYY_tgx_IHuhSq3AJ5eI5OnqOPBNLWSHKh2a30DoXe8/edit?usp=sharing"",""ตรัง!J516"")"),0)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IFERROR(__xludf.DUMMYFUNCTION("IMPORTRANGE(""https://docs.google.com/spreadsheets/d/1IYY_tgx_IHuhSq3AJ5eI5OnqOPBNLWSHKh2a30DoXe8/edit?usp=sharing"",""ตรัง!I517"")"),0)</f>
        <v>0</v>
      </c>
      <c r="J622" s="195">
        <f ca="1">IFERROR(__xludf.DUMMYFUNCTION("IMPORTRANGE(""https://docs.google.com/spreadsheets/d/1IYY_tgx_IHuhSq3AJ5eI5OnqOPBNLWSHKh2a30DoXe8/edit?usp=sharing"",""ตรัง!J517"")"),0)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IFERROR(__xludf.DUMMYFUNCTION("IMPORTRANGE(""https://docs.google.com/spreadsheets/d/1IYY_tgx_IHuhSq3AJ5eI5OnqOPBNLWSHKh2a30DoXe8/edit?usp=sharing"",""ตรัง!I518"")"),0)</f>
        <v>0</v>
      </c>
      <c r="J623" s="195">
        <f ca="1">IFERROR(__xludf.DUMMYFUNCTION("IMPORTRANGE(""https://docs.google.com/spreadsheets/d/1IYY_tgx_IHuhSq3AJ5eI5OnqOPBNLWSHKh2a30DoXe8/edit?usp=sharing"",""ตรัง!J518"")"),0)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IFERROR(__xludf.DUMMYFUNCTION("IMPORTRANGE(""https://docs.google.com/spreadsheets/d/1IYY_tgx_IHuhSq3AJ5eI5OnqOPBNLWSHKh2a30DoXe8/edit?usp=sharing"",""ตรัง!I519"")"),0)</f>
        <v>0</v>
      </c>
      <c r="J624" s="194">
        <f ca="1">IFERROR(__xludf.DUMMYFUNCTION("IMPORTRANGE(""https://docs.google.com/spreadsheets/d/1IYY_tgx_IHuhSq3AJ5eI5OnqOPBNLWSHKh2a30DoXe8/edit?usp=sharing"",""ตรัง!J519"")"),0)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IFERROR(__xludf.DUMMYFUNCTION("IMPORTRANGE(""https://docs.google.com/spreadsheets/d/1IYY_tgx_IHuhSq3AJ5eI5OnqOPBNLWSHKh2a30DoXe8/edit?usp=sharing"",""ตรัง!I520"")"),0)</f>
        <v>0</v>
      </c>
      <c r="J625" s="195">
        <f ca="1">IFERROR(__xludf.DUMMYFUNCTION("IMPORTRANGE(""https://docs.google.com/spreadsheets/d/1IYY_tgx_IHuhSq3AJ5eI5OnqOPBNLWSHKh2a30DoXe8/edit?usp=sharing"",""ตรัง!J520"")"),0)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IFERROR(__xludf.DUMMYFUNCTION("IMPORTRANGE(""https://docs.google.com/spreadsheets/d/1IYY_tgx_IHuhSq3AJ5eI5OnqOPBNLWSHKh2a30DoXe8/edit?usp=sharing"",""ตรัง!I521"")"),0)</f>
        <v>0</v>
      </c>
      <c r="J626" s="195">
        <f ca="1">IFERROR(__xludf.DUMMYFUNCTION("IMPORTRANGE(""https://docs.google.com/spreadsheets/d/1IYY_tgx_IHuhSq3AJ5eI5OnqOPBNLWSHKh2a30DoXe8/edit?usp=sharing"",""ตรัง!J521"")"),0)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IFERROR(__xludf.DUMMYFUNCTION("IMPORTRANGE(""https://docs.google.com/spreadsheets/d/1IYY_tgx_IHuhSq3AJ5eI5OnqOPBNLWSHKh2a30DoXe8/edit?usp=sharing"",""ตรัง!I523"")"),1672600.24)</f>
        <v>1672600.24</v>
      </c>
      <c r="J628" s="347">
        <f ca="1">IFERROR(__xludf.DUMMYFUNCTION("IMPORTRANGE(""https://docs.google.com/spreadsheets/d/1IYY_tgx_IHuhSq3AJ5eI5OnqOPBNLWSHKh2a30DoXe8/edit?usp=sharing"",""ตรัง!J523"")"),309433.08)</f>
        <v>309433.08</v>
      </c>
      <c r="K628" s="348">
        <f t="shared" ref="K628:K635" ca="1" si="129">IF(I628&gt;0,J628*100/I628,0)</f>
        <v>18.50012170272079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IFERROR(__xludf.DUMMYFUNCTION("IMPORTRANGE(""https://docs.google.com/spreadsheets/d/1IYY_tgx_IHuhSq3AJ5eI5OnqOPBNLWSHKh2a30DoXe8/edit?usp=sharing"",""ตรัง!I524"")"),102)</f>
        <v>102</v>
      </c>
      <c r="J629" s="347">
        <f ca="1">IFERROR(__xludf.DUMMYFUNCTION("IMPORTRANGE(""https://docs.google.com/spreadsheets/d/1IYY_tgx_IHuhSq3AJ5eI5OnqOPBNLWSHKh2a30DoXe8/edit?usp=sharing"",""ตรัง!J524"")"),21)</f>
        <v>21</v>
      </c>
      <c r="K629" s="348">
        <f t="shared" ca="1" si="129"/>
        <v>20.588235294117649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IFERROR(__xludf.DUMMYFUNCTION("IMPORTRANGE(""https://docs.google.com/spreadsheets/d/1IYY_tgx_IHuhSq3AJ5eI5OnqOPBNLWSHKh2a30DoXe8/edit?usp=sharing"",""ตรัง!I525"")"),2461069.78)</f>
        <v>2461069.7799999998</v>
      </c>
      <c r="J630" s="347">
        <f ca="1">IFERROR(__xludf.DUMMYFUNCTION("IMPORTRANGE(""https://docs.google.com/spreadsheets/d/1IYY_tgx_IHuhSq3AJ5eI5OnqOPBNLWSHKh2a30DoXe8/edit?usp=sharing"",""ตรัง!J525"")"),471737.33)</f>
        <v>471737.33</v>
      </c>
      <c r="K630" s="348">
        <f t="shared" ca="1" si="129"/>
        <v>19.167978650324983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IFERROR(__xludf.DUMMYFUNCTION("IMPORTRANGE(""https://docs.google.com/spreadsheets/d/1IYY_tgx_IHuhSq3AJ5eI5OnqOPBNLWSHKh2a30DoXe8/edit?usp=sharing"",""ตรัง!I526"")"),89)</f>
        <v>89</v>
      </c>
      <c r="J631" s="347">
        <f ca="1">IFERROR(__xludf.DUMMYFUNCTION("IMPORTRANGE(""https://docs.google.com/spreadsheets/d/1IYY_tgx_IHuhSq3AJ5eI5OnqOPBNLWSHKh2a30DoXe8/edit?usp=sharing"",""ตรัง!J526"")"),41)</f>
        <v>41</v>
      </c>
      <c r="K631" s="348">
        <f t="shared" ca="1" si="129"/>
        <v>46.067415730337082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IFERROR(__xludf.DUMMYFUNCTION("IMPORTRANGE(""https://docs.google.com/spreadsheets/d/1IYY_tgx_IHuhSq3AJ5eI5OnqOPBNLWSHKh2a30DoXe8/edit?usp=sharing"",""ตรัง!I527"")"),0)</f>
        <v>0</v>
      </c>
      <c r="J632" s="347">
        <f ca="1">IFERROR(__xludf.DUMMYFUNCTION("IMPORTRANGE(""https://docs.google.com/spreadsheets/d/1IYY_tgx_IHuhSq3AJ5eI5OnqOPBNLWSHKh2a30DoXe8/edit?usp=sharing"",""ตรัง!J527"")"),0)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IFERROR(__xludf.DUMMYFUNCTION("IMPORTRANGE(""https://docs.google.com/spreadsheets/d/1IYY_tgx_IHuhSq3AJ5eI5OnqOPBNLWSHKh2a30DoXe8/edit?usp=sharing"",""ตรัง!I528"")"),0)</f>
        <v>0</v>
      </c>
      <c r="J633" s="347">
        <f ca="1">IFERROR(__xludf.DUMMYFUNCTION("IMPORTRANGE(""https://docs.google.com/spreadsheets/d/1IYY_tgx_IHuhSq3AJ5eI5OnqOPBNLWSHKh2a30DoXe8/edit?usp=sharing"",""ตรัง!J528"")"),0)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IFERROR(__xludf.DUMMYFUNCTION("IMPORTRANGE(""https://docs.google.com/spreadsheets/d/1IYY_tgx_IHuhSq3AJ5eI5OnqOPBNLWSHKh2a30DoXe8/edit?usp=sharing"",""ตรัง!I529"")"),1200000)</f>
        <v>1200000</v>
      </c>
      <c r="J634" s="347">
        <f ca="1">IFERROR(__xludf.DUMMYFUNCTION("IMPORTRANGE(""https://docs.google.com/spreadsheets/d/1IYY_tgx_IHuhSq3AJ5eI5OnqOPBNLWSHKh2a30DoXe8/edit?usp=sharing"",""ตรัง!J529"")"),0)</f>
        <v>0</v>
      </c>
      <c r="K634" s="348">
        <f t="shared" ca="1" si="129"/>
        <v>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IFERROR(__xludf.DUMMYFUNCTION("IMPORTRANGE(""https://docs.google.com/spreadsheets/d/1IYY_tgx_IHuhSq3AJ5eI5OnqOPBNLWSHKh2a30DoXe8/edit?usp=sharing"",""ตรัง!I530"")"),24)</f>
        <v>24</v>
      </c>
      <c r="J635" s="517">
        <f ca="1">IFERROR(__xludf.DUMMYFUNCTION("IMPORTRANGE(""https://docs.google.com/spreadsheets/d/1IYY_tgx_IHuhSq3AJ5eI5OnqOPBNLWSHKh2a30DoXe8/edit?usp=sharing"",""ตรัง!J530"")"),0)</f>
        <v>0</v>
      </c>
      <c r="K635" s="492">
        <f t="shared" ca="1" si="129"/>
        <v>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O6" sqref="O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244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4385495.8</v>
      </c>
      <c r="M8" s="23">
        <f t="shared" ca="1" si="0"/>
        <v>2696443.6799999997</v>
      </c>
      <c r="N8" s="23">
        <f t="shared" ca="1" si="0"/>
        <v>2346569.37</v>
      </c>
      <c r="O8" s="22">
        <f t="shared" ref="O8:O16" ca="1" si="1">IF(L8&gt;0,N8*100/L8,0)</f>
        <v>53.507504670281527</v>
      </c>
      <c r="P8" s="22">
        <f t="shared" ref="P8:P16" ca="1" si="2">IF(M8&gt;0,N8*100/M8,0)</f>
        <v>87.024601604139576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4385495.8</v>
      </c>
      <c r="M10" s="30">
        <f t="shared" ca="1" si="4"/>
        <v>2696443.6799999997</v>
      </c>
      <c r="N10" s="30">
        <f t="shared" ca="1" si="4"/>
        <v>2346569.37</v>
      </c>
      <c r="O10" s="29">
        <f t="shared" ca="1" si="1"/>
        <v>53.507504670281527</v>
      </c>
      <c r="P10" s="29">
        <f t="shared" ca="1" si="2"/>
        <v>87.024601604139576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4187195.8</v>
      </c>
      <c r="M12" s="38">
        <f t="shared" ca="1" si="6"/>
        <v>2498143.6799999997</v>
      </c>
      <c r="N12" s="38">
        <f t="shared" ca="1" si="6"/>
        <v>2148269.37</v>
      </c>
      <c r="O12" s="38">
        <f t="shared" ca="1" si="1"/>
        <v>51.305682194274269</v>
      </c>
      <c r="P12" s="38">
        <f t="shared" ca="1" si="2"/>
        <v>85.994628219302427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1872200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2314995.7999999998</v>
      </c>
      <c r="M14" s="38">
        <f t="shared" si="8"/>
        <v>0</v>
      </c>
      <c r="N14" s="38">
        <f t="shared" ca="1" si="8"/>
        <v>327750.7</v>
      </c>
      <c r="O14" s="41">
        <f t="shared" ca="1" si="1"/>
        <v>14.157723309908382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198300</v>
      </c>
      <c r="M16" s="38">
        <f t="shared" ca="1" si="10"/>
        <v>198300</v>
      </c>
      <c r="N16" s="38">
        <f t="shared" ca="1" si="10"/>
        <v>198300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3188065</v>
      </c>
      <c r="M18" s="23">
        <f t="shared" ca="1" si="11"/>
        <v>2696443.6799999997</v>
      </c>
      <c r="N18" s="23">
        <f t="shared" ca="1" si="11"/>
        <v>2018818.67</v>
      </c>
      <c r="O18" s="22">
        <f t="shared" ref="O18:O20" ca="1" si="12">IF(L18&gt;0,N18*100/L18,0)</f>
        <v>63.32426315021808</v>
      </c>
      <c r="P18" s="22">
        <f t="shared" ref="P18:P26" ca="1" si="13">IF(M18&gt;0,N18*100/M18,0)</f>
        <v>74.869676862674183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3188065</v>
      </c>
      <c r="M20" s="30">
        <f t="shared" ca="1" si="15"/>
        <v>2696443.6799999997</v>
      </c>
      <c r="N20" s="30">
        <f t="shared" ca="1" si="15"/>
        <v>2018818.67</v>
      </c>
      <c r="O20" s="29">
        <f t="shared" ca="1" si="12"/>
        <v>63.32426315021808</v>
      </c>
      <c r="P20" s="29">
        <f t="shared" ca="1" si="13"/>
        <v>74.869676862674183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2989765</v>
      </c>
      <c r="M22" s="42">
        <f t="shared" ca="1" si="18"/>
        <v>2498143.6799999997</v>
      </c>
      <c r="N22" s="41">
        <f t="shared" ca="1" si="18"/>
        <v>1820518.67</v>
      </c>
      <c r="O22" s="41">
        <f t="shared" ca="1" si="17"/>
        <v>60.891697842472567</v>
      </c>
      <c r="P22" s="41">
        <f t="shared" ca="1" si="13"/>
        <v>72.874858422875036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1872200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1117565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198300</v>
      </c>
      <c r="M26" s="50">
        <f t="shared" ca="1" si="22"/>
        <v>198300</v>
      </c>
      <c r="N26" s="50">
        <f t="shared" ca="1" si="22"/>
        <v>198300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1197430.8</v>
      </c>
      <c r="M28" s="23">
        <f t="shared" si="23"/>
        <v>0</v>
      </c>
      <c r="N28" s="23">
        <f t="shared" ca="1" si="23"/>
        <v>327750.7</v>
      </c>
      <c r="O28" s="22">
        <f t="shared" ref="O28:O30" ca="1" si="24">IF(L28&gt;0,N28*100/L28,0)</f>
        <v>27.371159986865212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1197430.8</v>
      </c>
      <c r="M30" s="30">
        <f t="shared" si="27"/>
        <v>0</v>
      </c>
      <c r="N30" s="30">
        <f t="shared" ca="1" si="27"/>
        <v>327750.7</v>
      </c>
      <c r="O30" s="29">
        <f t="shared" ca="1" si="24"/>
        <v>27.371159986865212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1197430.8</v>
      </c>
      <c r="M32" s="41">
        <f t="shared" si="30"/>
        <v>0</v>
      </c>
      <c r="N32" s="41">
        <f t="shared" ca="1" si="30"/>
        <v>327750.7</v>
      </c>
      <c r="O32" s="41">
        <f t="shared" ca="1" si="29"/>
        <v>27.371159986865212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1197430.8</v>
      </c>
      <c r="M34" s="41">
        <f t="shared" si="32"/>
        <v>0</v>
      </c>
      <c r="N34" s="41">
        <f t="shared" ca="1" si="32"/>
        <v>327750.7</v>
      </c>
      <c r="O34" s="41">
        <f t="shared" ca="1" si="29"/>
        <v>27.371159986865212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3188065</v>
      </c>
      <c r="M37" s="55">
        <f t="shared" ca="1" si="33"/>
        <v>2696443.6799999997</v>
      </c>
      <c r="N37" s="55">
        <f t="shared" ca="1" si="33"/>
        <v>2018818.67</v>
      </c>
      <c r="O37" s="56">
        <f t="shared" ca="1" si="29"/>
        <v>63.32426315021808</v>
      </c>
      <c r="P37" s="56">
        <f t="shared" ca="1" si="25"/>
        <v>74.869676862674183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747700</v>
      </c>
      <c r="M41" s="79">
        <f t="shared" ca="1" si="34"/>
        <v>560700</v>
      </c>
      <c r="N41" s="79">
        <f t="shared" ca="1" si="34"/>
        <v>518371.05</v>
      </c>
      <c r="O41" s="78">
        <f t="shared" ref="O41:O43" ca="1" si="35">IF(L41&gt;0,N41*100/L41,0)</f>
        <v>69.32874816102715</v>
      </c>
      <c r="P41" s="78">
        <f t="shared" ref="P41:P43" ca="1" si="36">IF(M41&gt;0,N41*100/M41,0)</f>
        <v>92.450695559122522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747700</v>
      </c>
      <c r="M43" s="79">
        <f t="shared" ca="1" si="38"/>
        <v>560700</v>
      </c>
      <c r="N43" s="79">
        <f t="shared" ca="1" si="38"/>
        <v>518371.05</v>
      </c>
      <c r="O43" s="78">
        <f t="shared" ca="1" si="35"/>
        <v>69.32874816102715</v>
      </c>
      <c r="P43" s="78">
        <f t="shared" ca="1" si="36"/>
        <v>92.450695559122522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747700</v>
      </c>
      <c r="M45" s="91">
        <f ca="1">IFERROR(__xludf.DUMMYFUNCTION("IMPORTRANGE(""https://docs.google.com/spreadsheets/d/1Yj_ptqi66GCucihVvJfMjLAmec39IyEx_6qawtMGysU/edit?usp=sharing"",""สบก!Q84"")"),560700)</f>
        <v>560700</v>
      </c>
      <c r="N45" s="91">
        <f ca="1">IFERROR(__xludf.DUMMYFUNCTION("IMPORTRANGE(""https://docs.google.com/spreadsheets/d/1Yj_ptqi66GCucihVvJfMjLAmec39IyEx_6qawtMGysU/edit?usp=sharing"",""สบก!R84"")"),518371.05)</f>
        <v>518371.05</v>
      </c>
      <c r="O45" s="92">
        <f ca="1">IF(L45&gt;0,N45*100/L45,0)</f>
        <v>69.32874816102715</v>
      </c>
      <c r="P45" s="92">
        <f ca="1">IF(M45&gt;0,N45*100/M45,0)</f>
        <v>92.450695559122522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IFERROR(__xludf.DUMMYFUNCTION("IMPORTRANGE(""https://docs.google.com/spreadsheets/d/1Yj_ptqi66GCucihVvJfMjLAmec39IyEx_6qawtMGysU/edit?usp=sharing"",""สบก!M84"")"),747700)</f>
        <v>747700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IFERROR(__xludf.DUMMYFUNCTION("IMPORTRANGE(""https://docs.google.com/spreadsheets/d/1Yj_ptqi66GCucihVvJfMjLAmec39IyEx_6qawtMGysU/edit?usp=sharing"",""สบก!N84"")"),0)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IFERROR(__xludf.DUMMYFUNCTION("IMPORTRANGE(""https://docs.google.com/spreadsheets/d/1Yj_ptqi66GCucihVvJfMjLAmec39IyEx_6qawtMGysU/edit?usp=sharing"",""สบก!O84"")"),0)</f>
        <v>0</v>
      </c>
      <c r="M49" s="101"/>
      <c r="N49" s="91">
        <f ca="1">IFERROR(__xludf.DUMMYFUNCTION("IMPORTRANGE(""https://docs.google.com/spreadsheets/d/1Yj_ptqi66GCucihVvJfMjLAmec39IyEx_6qawtMGysU/edit?usp=sharing"",""สบก!S84"")"),0)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600000</v>
      </c>
      <c r="M53" s="125">
        <f t="shared" ca="1" si="39"/>
        <v>471683.68</v>
      </c>
      <c r="N53" s="125">
        <f t="shared" ca="1" si="39"/>
        <v>390913.76</v>
      </c>
      <c r="O53" s="124">
        <f t="shared" ref="O53:O55" ca="1" si="40">IF(L53&gt;0,N53*100/L53,0)</f>
        <v>65.152293333333333</v>
      </c>
      <c r="P53" s="124">
        <f t="shared" ref="P53:P55" ca="1" si="41">IF(M53&gt;0,N53*100/M53,0)</f>
        <v>82.876253000739823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600000</v>
      </c>
      <c r="M55" s="125">
        <f t="shared" ca="1" si="43"/>
        <v>471683.68</v>
      </c>
      <c r="N55" s="125">
        <f t="shared" ca="1" si="43"/>
        <v>390913.76</v>
      </c>
      <c r="O55" s="124">
        <f t="shared" ca="1" si="40"/>
        <v>65.152293333333333</v>
      </c>
      <c r="P55" s="124">
        <f t="shared" ca="1" si="41"/>
        <v>82.876253000739823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600000</v>
      </c>
      <c r="M57" s="91">
        <f ca="1">IFERROR(__xludf.DUMMYFUNCTION("IMPORTRANGE(""https://docs.google.com/spreadsheets/d/1Yj_ptqi66GCucihVvJfMjLAmec39IyEx_6qawtMGysU/edit?usp=sharing"",""สบก!Z84"")"),471683.68)</f>
        <v>471683.68</v>
      </c>
      <c r="N57" s="91">
        <f ca="1">IFERROR(__xludf.DUMMYFUNCTION("IMPORTRANGE(""https://docs.google.com/spreadsheets/d/1Yj_ptqi66GCucihVvJfMjLAmec39IyEx_6qawtMGysU/edit?usp=sharing"",""สบก!AA84"")"),390913.76)</f>
        <v>390913.76</v>
      </c>
      <c r="O57" s="92">
        <f ca="1">IF(L57&gt;0,N57*100/L57,0)</f>
        <v>65.152293333333333</v>
      </c>
      <c r="P57" s="92">
        <f ca="1">IF(M57&gt;0,N57*100/M57,0)</f>
        <v>82.876253000739823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IFERROR(__xludf.DUMMYFUNCTION("IMPORTRANGE(""https://docs.google.com/spreadsheets/d/1Yj_ptqi66GCucihVvJfMjLAmec39IyEx_6qawtMGysU/edit?usp=sharing"",""สบก!V84"")"),600000)</f>
        <v>600000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IFERROR(__xludf.DUMMYFUNCTION("IMPORTRANGE(""https://docs.google.com/spreadsheets/d/1Yj_ptqi66GCucihVvJfMjLAmec39IyEx_6qawtMGysU/edit?usp=sharing"",""สบก!W84"")"),0)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IFERROR(__xludf.DUMMYFUNCTION("IMPORTRANGE(""https://docs.google.com/spreadsheets/d/1Yj_ptqi66GCucihVvJfMjLAmec39IyEx_6qawtMGysU/edit?usp=sharing"",""สบก!X84"")"),0)</f>
        <v>0</v>
      </c>
      <c r="M61" s="101"/>
      <c r="N61" s="91">
        <f ca="1">IFERROR(__xludf.DUMMYFUNCTION("IMPORTRANGE(""https://docs.google.com/spreadsheets/d/1Yj_ptqi66GCucihVvJfMjLAmec39IyEx_6qawtMGysU/edit?usp=sharing"",""สบก!AB84"")"),0)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IFERROR(__xludf.DUMMYFUNCTION("IMPORTRANGE(""https://docs.google.com/spreadsheets/d/1IYY_tgx_IHuhSq3AJ5eI5OnqOPBNLWSHKh2a30DoXe8/edit?usp=sharing"",""นครศรีธรรมราช!I9"")"),0)</f>
        <v>0</v>
      </c>
      <c r="J64" s="146">
        <f ca="1">IFERROR(__xludf.DUMMYFUNCTION("IMPORTRANGE(""https://docs.google.com/spreadsheets/d/1IYY_tgx_IHuhSq3AJ5eI5OnqOPBNLWSHKh2a30DoXe8/edit?usp=sharing"",""นครศรีธรรมราช!J9"")"),0)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IFERROR(__xludf.DUMMYFUNCTION("IMPORTRANGE(""https://docs.google.com/spreadsheets/d/1IYY_tgx_IHuhSq3AJ5eI5OnqOPBNLWSHKh2a30DoXe8/edit?usp=sharing"",""นครศรีธรรมราช!I10"")"),0)</f>
        <v>0</v>
      </c>
      <c r="J65" s="146">
        <f ca="1">IFERROR(__xludf.DUMMYFUNCTION("IMPORTRANGE(""https://docs.google.com/spreadsheets/d/1IYY_tgx_IHuhSq3AJ5eI5OnqOPBNLWSHKh2a30DoXe8/edit?usp=sharing"",""นครศรีธรรมราช!J10"")"),0)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IFERROR(__xludf.DUMMYFUNCTION("IMPORTRANGE(""https://docs.google.com/spreadsheets/d/1Yj_ptqi66GCucihVvJfMjLAmec39IyEx_6qawtMGysU/edit?usp=sharing"",""สบก!AI84"")"),0)</f>
        <v>0</v>
      </c>
      <c r="N70" s="174">
        <f ca="1">IFERROR(__xludf.DUMMYFUNCTION("IMPORTRANGE(""https://docs.google.com/spreadsheets/d/1Yj_ptqi66GCucihVvJfMjLAmec39IyEx_6qawtMGysU/edit?usp=sharing"",""สบก!AJ84"")"),0)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IFERROR(__xludf.DUMMYFUNCTION("IMPORTRANGE(""https://docs.google.com/spreadsheets/d/1Yj_ptqi66GCucihVvJfMjLAmec39IyEx_6qawtMGysU/edit?usp=sharing"",""สบก!AE84"")"),0)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IFERROR(__xludf.DUMMYFUNCTION("IMPORTRANGE(""https://docs.google.com/spreadsheets/d/1Yj_ptqi66GCucihVvJfMjLAmec39IyEx_6qawtMGysU/edit?usp=sharing"",""สบก!AF84"")"),0)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IFERROR(__xludf.DUMMYFUNCTION("IMPORTRANGE(""https://docs.google.com/spreadsheets/d/1Yj_ptqi66GCucihVvJfMjLAmec39IyEx_6qawtMGysU/edit?usp=sharing"",""สบก!AG84"")"),0)</f>
        <v>0</v>
      </c>
      <c r="M74" s="101"/>
      <c r="N74" s="91">
        <f ca="1">IFERROR(__xludf.DUMMYFUNCTION("IMPORTRANGE(""https://docs.google.com/spreadsheets/d/1Yj_ptqi66GCucihVvJfMjLAmec39IyEx_6qawtMGysU/edit?usp=sharing"",""สบก!AK84"")"),0)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IFERROR(__xludf.DUMMYFUNCTION("IMPORTRANGE(""https://docs.google.com/spreadsheets/d/1IYY_tgx_IHuhSq3AJ5eI5OnqOPBNLWSHKh2a30DoXe8/edit?usp=sharing"",""นครศรีธรรมราช!J16"")"),0)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IFERROR(__xludf.DUMMYFUNCTION("IMPORTRANGE(""https://docs.google.com/spreadsheets/d/1IYY_tgx_IHuhSq3AJ5eI5OnqOPBNLWSHKh2a30DoXe8/edit?usp=sharing"",""นครศรีธรรมราช!J17"")"),0)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IFERROR(__xludf.DUMMYFUNCTION("IMPORTRANGE(""https://docs.google.com/spreadsheets/d/1IYY_tgx_IHuhSq3AJ5eI5OnqOPBNLWSHKh2a30DoXe8/edit?usp=sharing"",""นครศรีธรรมราช!J18"")"),0)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IFERROR(__xludf.DUMMYFUNCTION("IMPORTRANGE(""https://docs.google.com/spreadsheets/d/1IYY_tgx_IHuhSq3AJ5eI5OnqOPBNLWSHKh2a30DoXe8/edit?usp=sharing"",""นครศรีธรรมราช!J19"")"),0)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IFERROR(__xludf.DUMMYFUNCTION("IMPORTRANGE(""https://docs.google.com/spreadsheets/d/1IYY_tgx_IHuhSq3AJ5eI5OnqOPBNLWSHKh2a30DoXe8/edit?usp=sharing"",""นครศรีธรรมราช!I20"")"),0)</f>
        <v>0</v>
      </c>
      <c r="J80" s="207">
        <f ca="1">IFERROR(__xludf.DUMMYFUNCTION("IMPORTRANGE(""https://docs.google.com/spreadsheets/d/1IYY_tgx_IHuhSq3AJ5eI5OnqOPBNLWSHKh2a30DoXe8/edit?usp=sharing"",""นครศรีธรรมราช!J20"")"),0)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IFERROR(__xludf.DUMMYFUNCTION("IMPORTRANGE(""https://docs.google.com/spreadsheets/d/1IYY_tgx_IHuhSq3AJ5eI5OnqOPBNLWSHKh2a30DoXe8/edit?usp=sharing"",""นครศรีธรรมราช!I21"")"),0)</f>
        <v>0</v>
      </c>
      <c r="J81" s="207">
        <f ca="1">IFERROR(__xludf.DUMMYFUNCTION("IMPORTRANGE(""https://docs.google.com/spreadsheets/d/1IYY_tgx_IHuhSq3AJ5eI5OnqOPBNLWSHKh2a30DoXe8/edit?usp=sharing"",""นครศรีธรรมราช!J21"")"),0)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IFERROR(__xludf.DUMMYFUNCTION("IMPORTRANGE(""https://docs.google.com/spreadsheets/d/1IYY_tgx_IHuhSq3AJ5eI5OnqOPBNLWSHKh2a30DoXe8/edit?usp=sharing"",""นครศรีธรรมราช!I22"")"),0)</f>
        <v>0</v>
      </c>
      <c r="J82" s="210">
        <f ca="1">IFERROR(__xludf.DUMMYFUNCTION("IMPORTRANGE(""https://docs.google.com/spreadsheets/d/1IYY_tgx_IHuhSq3AJ5eI5OnqOPBNLWSHKh2a30DoXe8/edit?usp=sharing"",""นครศรีธรรมราช!J22"")"),0)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IFERROR(__xludf.DUMMYFUNCTION("IMPORTRANGE(""https://docs.google.com/spreadsheets/d/1IYY_tgx_IHuhSq3AJ5eI5OnqOPBNLWSHKh2a30DoXe8/edit?usp=sharing"",""นครศรีธรรมราช!I23"")"),0)</f>
        <v>0</v>
      </c>
      <c r="J83" s="210">
        <f ca="1">IFERROR(__xludf.DUMMYFUNCTION("IMPORTRANGE(""https://docs.google.com/spreadsheets/d/1IYY_tgx_IHuhSq3AJ5eI5OnqOPBNLWSHKh2a30DoXe8/edit?usp=sharing"",""นครศรีธรรมราช!J23"")"),0)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IFERROR(__xludf.DUMMYFUNCTION("IMPORTRANGE(""https://docs.google.com/spreadsheets/d/1IYY_tgx_IHuhSq3AJ5eI5OnqOPBNLWSHKh2a30DoXe8/edit?usp=sharing"",""นครศรีธรรมราช!I24"")"),0)</f>
        <v>0</v>
      </c>
      <c r="J84" s="195">
        <f ca="1">IFERROR(__xludf.DUMMYFUNCTION("IMPORTRANGE(""https://docs.google.com/spreadsheets/d/1IYY_tgx_IHuhSq3AJ5eI5OnqOPBNLWSHKh2a30DoXe8/edit?usp=sharing"",""นครศรีธรรมราช!J24"")"),0)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IFERROR(__xludf.DUMMYFUNCTION("IMPORTRANGE(""https://docs.google.com/spreadsheets/d/1IYY_tgx_IHuhSq3AJ5eI5OnqOPBNLWSHKh2a30DoXe8/edit?usp=sharing"",""นครศรีธรรมราช!I25"")"),0)</f>
        <v>0</v>
      </c>
      <c r="J85" s="195">
        <f ca="1">IFERROR(__xludf.DUMMYFUNCTION("IMPORTRANGE(""https://docs.google.com/spreadsheets/d/1IYY_tgx_IHuhSq3AJ5eI5OnqOPBNLWSHKh2a30DoXe8/edit?usp=sharing"",""นครศรีธรรมราช!J25"")"),0)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IFERROR(__xludf.DUMMYFUNCTION("IMPORTRANGE(""https://docs.google.com/spreadsheets/d/1IYY_tgx_IHuhSq3AJ5eI5OnqOPBNLWSHKh2a30DoXe8/edit?usp=sharing"",""นครศรีธรรมราช!I26"")"),0)</f>
        <v>0</v>
      </c>
      <c r="J86" s="210">
        <f ca="1">IFERROR(__xludf.DUMMYFUNCTION("IMPORTRANGE(""https://docs.google.com/spreadsheets/d/1IYY_tgx_IHuhSq3AJ5eI5OnqOPBNLWSHKh2a30DoXe8/edit?usp=sharing"",""นครศรีธรรมราช!J26"")"),0)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IFERROR(__xludf.DUMMYFUNCTION("IMPORTRANGE(""https://docs.google.com/spreadsheets/d/1IYY_tgx_IHuhSq3AJ5eI5OnqOPBNLWSHKh2a30DoXe8/edit?usp=sharing"",""นครศรีธรรมราช!I27"")"),0)</f>
        <v>0</v>
      </c>
      <c r="J87" s="210">
        <f ca="1">IFERROR(__xludf.DUMMYFUNCTION("IMPORTRANGE(""https://docs.google.com/spreadsheets/d/1IYY_tgx_IHuhSq3AJ5eI5OnqOPBNLWSHKh2a30DoXe8/edit?usp=sharing"",""นครศรีธรรมราช!J27"")"),0)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IFERROR(__xludf.DUMMYFUNCTION("IMPORTRANGE(""https://docs.google.com/spreadsheets/d/1IYY_tgx_IHuhSq3AJ5eI5OnqOPBNLWSHKh2a30DoXe8/edit?usp=sharing"",""นครศรีธรรมราช!I28"")"),0)</f>
        <v>0</v>
      </c>
      <c r="J88" s="210">
        <f ca="1">IFERROR(__xludf.DUMMYFUNCTION("IMPORTRANGE(""https://docs.google.com/spreadsheets/d/1IYY_tgx_IHuhSq3AJ5eI5OnqOPBNLWSHKh2a30DoXe8/edit?usp=sharing"",""นครศรีธรรมราช!J28"")"),0)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IFERROR(__xludf.DUMMYFUNCTION("IMPORTRANGE(""https://docs.google.com/spreadsheets/d/1IYY_tgx_IHuhSq3AJ5eI5OnqOPBNLWSHKh2a30DoXe8/edit?usp=sharing"",""นครศรีธรรมราช!J29"")"),0)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IFERROR(__xludf.DUMMYFUNCTION("IMPORTRANGE(""https://docs.google.com/spreadsheets/d/1IYY_tgx_IHuhSq3AJ5eI5OnqOPBNLWSHKh2a30DoXe8/edit?usp=sharing"",""นครศรีธรรมราช!J30"")"),0)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IFERROR(__xludf.DUMMYFUNCTION("IMPORTRANGE(""https://docs.google.com/spreadsheets/d/1IYY_tgx_IHuhSq3AJ5eI5OnqOPBNLWSHKh2a30DoXe8/edit?usp=sharing"",""นครศรีธรรมราช!I32"")"),7)</f>
        <v>7</v>
      </c>
      <c r="J92" s="146">
        <f ca="1">IFERROR(__xludf.DUMMYFUNCTION("IMPORTRANGE(""https://docs.google.com/spreadsheets/d/1IYY_tgx_IHuhSq3AJ5eI5OnqOPBNLWSHKh2a30DoXe8/edit?usp=sharing"",""นครศรีธรรมราช!J32"")"),7)</f>
        <v>7</v>
      </c>
      <c r="K92" s="147">
        <f t="shared" ref="K92:K93" ca="1" si="51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IFERROR(__xludf.DUMMYFUNCTION("IMPORTRANGE(""https://docs.google.com/spreadsheets/d/1IYY_tgx_IHuhSq3AJ5eI5OnqOPBNLWSHKh2a30DoXe8/edit?usp=sharing"",""นครศรีธรรมราช!I33"")"),2)</f>
        <v>2</v>
      </c>
      <c r="J93" s="146">
        <f ca="1">IFERROR(__xludf.DUMMYFUNCTION("IMPORTRANGE(""https://docs.google.com/spreadsheets/d/1IYY_tgx_IHuhSq3AJ5eI5OnqOPBNLWSHKh2a30DoXe8/edit?usp=sharing"",""นครศรีธรรมราช!J33"")"),2)</f>
        <v>2</v>
      </c>
      <c r="K93" s="147">
        <f t="shared" ca="1" si="51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319800</v>
      </c>
      <c r="M94" s="156">
        <f t="shared" ca="1" si="52"/>
        <v>319800</v>
      </c>
      <c r="N94" s="156">
        <f t="shared" ca="1" si="52"/>
        <v>228360</v>
      </c>
      <c r="O94" s="155">
        <f t="shared" ref="O94:O96" ca="1" si="53">IF(L94&gt;0,N94*100/L94,0)</f>
        <v>71.407129455909939</v>
      </c>
      <c r="P94" s="155">
        <f t="shared" ref="P94:P96" ca="1" si="54">IF(M94&gt;0,N94*100/M94,0)</f>
        <v>71.407129455909939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319800</v>
      </c>
      <c r="M96" s="161">
        <f t="shared" ca="1" si="56"/>
        <v>319800</v>
      </c>
      <c r="N96" s="161">
        <f t="shared" ca="1" si="56"/>
        <v>228360</v>
      </c>
      <c r="O96" s="160">
        <f t="shared" ca="1" si="53"/>
        <v>71.407129455909939</v>
      </c>
      <c r="P96" s="160">
        <f t="shared" ca="1" si="54"/>
        <v>71.407129455909939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135000</v>
      </c>
      <c r="M98" s="173">
        <f ca="1">IFERROR(__xludf.DUMMYFUNCTION("IMPORTRANGE(""https://docs.google.com/spreadsheets/d/1Yj_ptqi66GCucihVvJfMjLAmec39IyEx_6qawtMGysU/edit?usp=sharing"",""สบก!AR84"")"),135000)</f>
        <v>135000</v>
      </c>
      <c r="N98" s="174">
        <f ca="1">IFERROR(__xludf.DUMMYFUNCTION("IMPORTRANGE(""https://docs.google.com/spreadsheets/d/1Yj_ptqi66GCucihVvJfMjLAmec39IyEx_6qawtMGysU/edit?usp=sharing"",""สบก!AS84"")"),43560)</f>
        <v>43560</v>
      </c>
      <c r="O98" s="175">
        <f ca="1">IF(L98&gt;0,N98*100/L98,0)</f>
        <v>32.266666666666666</v>
      </c>
      <c r="P98" s="175">
        <f ca="1">IF(M98&gt;0,N98*100/M98,0)</f>
        <v>32.266666666666666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IFERROR(__xludf.DUMMYFUNCTION("IMPORTRANGE(""https://docs.google.com/spreadsheets/d/1Yj_ptqi66GCucihVvJfMjLAmec39IyEx_6qawtMGysU/edit?usp=sharing"",""สบก!AN84"")"),0)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IFERROR(__xludf.DUMMYFUNCTION("IMPORTRANGE(""https://docs.google.com/spreadsheets/d/1Yj_ptqi66GCucihVvJfMjLAmec39IyEx_6qawtMGysU/edit?usp=sharing"",""สบก!AO84"")"),135000)</f>
        <v>135000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IFERROR(__xludf.DUMMYFUNCTION("IMPORTRANGE(""https://docs.google.com/spreadsheets/d/1Yj_ptqi66GCucihVvJfMjLAmec39IyEx_6qawtMGysU/edit?usp=sharing"",""สบก!AP84"")"),184800)</f>
        <v>184800</v>
      </c>
      <c r="M102" s="101">
        <f ca="1">L102</f>
        <v>184800</v>
      </c>
      <c r="N102" s="91">
        <f ca="1">IFERROR(__xludf.DUMMYFUNCTION("IMPORTRANGE(""https://docs.google.com/spreadsheets/d/1Yj_ptqi66GCucihVvJfMjLAmec39IyEx_6qawtMGysU/edit?usp=sharing"",""สบก!AT84"")"),184800)</f>
        <v>184800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IFERROR(__xludf.DUMMYFUNCTION("IMPORTRANGE(""https://docs.google.com/spreadsheets/d/1IYY_tgx_IHuhSq3AJ5eI5OnqOPBNLWSHKh2a30DoXe8/edit?usp=sharing"",""นครศรีธรรมราช!J39"")"),0)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IFERROR(__xludf.DUMMYFUNCTION("IMPORTRANGE(""https://docs.google.com/spreadsheets/d/1IYY_tgx_IHuhSq3AJ5eI5OnqOPBNLWSHKh2a30DoXe8/edit?usp=sharing"",""นครศรีธรรมราช!J40"")"),1)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IFERROR(__xludf.DUMMYFUNCTION("IMPORTRANGE(""https://docs.google.com/spreadsheets/d/1IYY_tgx_IHuhSq3AJ5eI5OnqOPBNLWSHKh2a30DoXe8/edit?usp=sharing"",""นครศรีธรรมราช!J41"")"),1)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IFERROR(__xludf.DUMMYFUNCTION("IMPORTRANGE(""https://docs.google.com/spreadsheets/d/1IYY_tgx_IHuhSq3AJ5eI5OnqOPBNLWSHKh2a30DoXe8/edit?usp=sharing"",""นครศรีธรรมราช!J42"")"),1)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IFERROR(__xludf.DUMMYFUNCTION("IMPORTRANGE(""https://docs.google.com/spreadsheets/d/1IYY_tgx_IHuhSq3AJ5eI5OnqOPBNLWSHKh2a30DoXe8/edit?usp=sharing"",""นครศรีธรรมราช!I43"")"),1)</f>
        <v>1</v>
      </c>
      <c r="J108" s="210">
        <f ca="1">IFERROR(__xludf.DUMMYFUNCTION("IMPORTRANGE(""https://docs.google.com/spreadsheets/d/1IYY_tgx_IHuhSq3AJ5eI5OnqOPBNLWSHKh2a30DoXe8/edit?usp=sharing"",""นครศรีธรรมราช!J43"")"),1)</f>
        <v>1</v>
      </c>
      <c r="K108" s="230">
        <f t="shared" ref="K108:K113" ca="1" si="57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IFERROR(__xludf.DUMMYFUNCTION("IMPORTRANGE(""https://docs.google.com/spreadsheets/d/1IYY_tgx_IHuhSq3AJ5eI5OnqOPBNLWSHKh2a30DoXe8/edit?usp=sharing"",""นครศรีธรรมราช!I44"")"),7)</f>
        <v>7</v>
      </c>
      <c r="J109" s="210">
        <f ca="1">IFERROR(__xludf.DUMMYFUNCTION("IMPORTRANGE(""https://docs.google.com/spreadsheets/d/1IYY_tgx_IHuhSq3AJ5eI5OnqOPBNLWSHKh2a30DoXe8/edit?usp=sharing"",""นครศรีธรรมราช!J44"")"),7)</f>
        <v>7</v>
      </c>
      <c r="K109" s="230">
        <f t="shared" ca="1" si="57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IFERROR(__xludf.DUMMYFUNCTION("IMPORTRANGE(""https://docs.google.com/spreadsheets/d/1IYY_tgx_IHuhSq3AJ5eI5OnqOPBNLWSHKh2a30DoXe8/edit?usp=sharing"",""นครศรีธรรมราช!I45"")"),7)</f>
        <v>7</v>
      </c>
      <c r="J110" s="210">
        <f ca="1">IFERROR(__xludf.DUMMYFUNCTION("IMPORTRANGE(""https://docs.google.com/spreadsheets/d/1IYY_tgx_IHuhSq3AJ5eI5OnqOPBNLWSHKh2a30DoXe8/edit?usp=sharing"",""นครศรีธรรมราช!J45"")"),7)</f>
        <v>7</v>
      </c>
      <c r="K110" s="230">
        <f t="shared" ca="1" si="57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IFERROR(__xludf.DUMMYFUNCTION("IMPORTRANGE(""https://docs.google.com/spreadsheets/d/1IYY_tgx_IHuhSq3AJ5eI5OnqOPBNLWSHKh2a30DoXe8/edit?usp=sharing"",""นครศรีธรรมราช!I46"")"),7)</f>
        <v>7</v>
      </c>
      <c r="J111" s="210">
        <f ca="1">IFERROR(__xludf.DUMMYFUNCTION("IMPORTRANGE(""https://docs.google.com/spreadsheets/d/1IYY_tgx_IHuhSq3AJ5eI5OnqOPBNLWSHKh2a30DoXe8/edit?usp=sharing"",""นครศรีธรรมราช!J46"")"),7)</f>
        <v>7</v>
      </c>
      <c r="K111" s="230">
        <f t="shared" ca="1" si="57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IFERROR(__xludf.DUMMYFUNCTION("IMPORTRANGE(""https://docs.google.com/spreadsheets/d/1IYY_tgx_IHuhSq3AJ5eI5OnqOPBNLWSHKh2a30DoXe8/edit?usp=sharing"",""นครศรีธรรมราช!I47"")"),7)</f>
        <v>7</v>
      </c>
      <c r="J112" s="210">
        <f ca="1">IFERROR(__xludf.DUMMYFUNCTION("IMPORTRANGE(""https://docs.google.com/spreadsheets/d/1IYY_tgx_IHuhSq3AJ5eI5OnqOPBNLWSHKh2a30DoXe8/edit?usp=sharing"",""นครศรีธรรมราช!J47"")"),7)</f>
        <v>7</v>
      </c>
      <c r="K112" s="230">
        <f t="shared" ca="1" si="57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IFERROR(__xludf.DUMMYFUNCTION("IMPORTRANGE(""https://docs.google.com/spreadsheets/d/1IYY_tgx_IHuhSq3AJ5eI5OnqOPBNLWSHKh2a30DoXe8/edit?usp=sharing"",""นครศรีธรรมราช!I48"")"),2)</f>
        <v>2</v>
      </c>
      <c r="J113" s="210">
        <f ca="1">IFERROR(__xludf.DUMMYFUNCTION("IMPORTRANGE(""https://docs.google.com/spreadsheets/d/1IYY_tgx_IHuhSq3AJ5eI5OnqOPBNLWSHKh2a30DoXe8/edit?usp=sharing"",""นครศรีธรรมราช!J48"")"),2)</f>
        <v>2</v>
      </c>
      <c r="K113" s="230">
        <f t="shared" ca="1" si="57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IFERROR(__xludf.DUMMYFUNCTION("IMPORTRANGE(""https://docs.google.com/spreadsheets/d/1IYY_tgx_IHuhSq3AJ5eI5OnqOPBNLWSHKh2a30DoXe8/edit?usp=sharing"",""นครศรีธรรมราช!J49"")"),0)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IFERROR(__xludf.DUMMYFUNCTION("IMPORTRANGE(""https://docs.google.com/spreadsheets/d/1IYY_tgx_IHuhSq3AJ5eI5OnqOPBNLWSHKh2a30DoXe8/edit?usp=sharing"",""นครศรีธรรมราช!J50"")"),0)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IFERROR(__xludf.DUMMYFUNCTION("IMPORTRANGE(""https://docs.google.com/spreadsheets/d/1IYY_tgx_IHuhSq3AJ5eI5OnqOPBNLWSHKh2a30DoXe8/edit?usp=sharing"",""นครศรีธรรมราช!I52"")"),0)</f>
        <v>0</v>
      </c>
      <c r="J117" s="146">
        <f ca="1">IFERROR(__xludf.DUMMYFUNCTION("IMPORTRANGE(""https://docs.google.com/spreadsheets/d/1IYY_tgx_IHuhSq3AJ5eI5OnqOPBNLWSHKh2a30DoXe8/edit?usp=sharing"",""นครศรีธรรมราช!J52"")"),0)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IFERROR(__xludf.DUMMYFUNCTION("IMPORTRANGE(""https://docs.google.com/spreadsheets/d/1Yj_ptqi66GCucihVvJfMjLAmec39IyEx_6qawtMGysU/edit?usp=sharing"",""สบก!BA84"")"),0)</f>
        <v>0</v>
      </c>
      <c r="N122" s="174">
        <f ca="1">IFERROR(__xludf.DUMMYFUNCTION("IMPORTRANGE(""https://docs.google.com/spreadsheets/d/1Yj_ptqi66GCucihVvJfMjLAmec39IyEx_6qawtMGysU/edit?usp=sharing"",""สบก!BB84"")"),0)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IFERROR(__xludf.DUMMYFUNCTION("IMPORTRANGE(""https://docs.google.com/spreadsheets/d/1Yj_ptqi66GCucihVvJfMjLAmec39IyEx_6qawtMGysU/edit?usp=sharing"",""สบก!AW84"")"),0)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IFERROR(__xludf.DUMMYFUNCTION("IMPORTRANGE(""https://docs.google.com/spreadsheets/d/1Yj_ptqi66GCucihVvJfMjLAmec39IyEx_6qawtMGysU/edit?usp=sharing"",""สบก!AX84"")"),0)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IFERROR(__xludf.DUMMYFUNCTION("IMPORTRANGE(""https://docs.google.com/spreadsheets/d/1Yj_ptqi66GCucihVvJfMjLAmec39IyEx_6qawtMGysU/edit?usp=sharing"",""สบก!AY84"")"),0)</f>
        <v>0</v>
      </c>
      <c r="M126" s="101"/>
      <c r="N126" s="91">
        <f ca="1">IFERROR(__xludf.DUMMYFUNCTION("IMPORTRANGE(""https://docs.google.com/spreadsheets/d/1Yj_ptqi66GCucihVvJfMjLAmec39IyEx_6qawtMGysU/edit?usp=sharing"",""สบก!BC84"")"),0)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245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IFERROR(__xludf.DUMMYFUNCTION("IMPORTRANGE(""https://docs.google.com/spreadsheets/d/1IYY_tgx_IHuhSq3AJ5eI5OnqOPBNLWSHKh2a30DoXe8/edit?usp=sharing"",""นครศรีธรรมราช!J58"")"),0)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IFERROR(__xludf.DUMMYFUNCTION("IMPORTRANGE(""https://docs.google.com/spreadsheets/d/1IYY_tgx_IHuhSq3AJ5eI5OnqOPBNLWSHKh2a30DoXe8/edit?usp=sharing"",""นครศรีธรรมราช!J59"")"),0)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IFERROR(__xludf.DUMMYFUNCTION("IMPORTRANGE(""https://docs.google.com/spreadsheets/d/1IYY_tgx_IHuhSq3AJ5eI5OnqOPBNLWSHKh2a30DoXe8/edit?usp=sharing"",""นครศรีธรรมราช!J60"")"),0)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IFERROR(__xludf.DUMMYFUNCTION("IMPORTRANGE(""https://docs.google.com/spreadsheets/d/1IYY_tgx_IHuhSq3AJ5eI5OnqOPBNLWSHKh2a30DoXe8/edit?usp=sharing"",""นครศรีธรรมราช!J61"")"),0)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IFERROR(__xludf.DUMMYFUNCTION("IMPORTRANGE(""https://docs.google.com/spreadsheets/d/1IYY_tgx_IHuhSq3AJ5eI5OnqOPBNLWSHKh2a30DoXe8/edit?usp=sharing"",""นครศรีธรรมราช!I62"")"),0)</f>
        <v>0</v>
      </c>
      <c r="J132" s="210">
        <f ca="1">IFERROR(__xludf.DUMMYFUNCTION("IMPORTRANGE(""https://docs.google.com/spreadsheets/d/1IYY_tgx_IHuhSq3AJ5eI5OnqOPBNLWSHKh2a30DoXe8/edit?usp=sharing"",""นครศรีธรรมราช!J62"")"),0)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IFERROR(__xludf.DUMMYFUNCTION("IMPORTRANGE(""https://docs.google.com/spreadsheets/d/1IYY_tgx_IHuhSq3AJ5eI5OnqOPBNLWSHKh2a30DoXe8/edit?usp=sharing"",""นครศรีธรรมราช!I63"")"),0)</f>
        <v>0</v>
      </c>
      <c r="J133" s="210">
        <f ca="1">IFERROR(__xludf.DUMMYFUNCTION("IMPORTRANGE(""https://docs.google.com/spreadsheets/d/1IYY_tgx_IHuhSq3AJ5eI5OnqOPBNLWSHKh2a30DoXe8/edit?usp=sharing"",""นครศรีธรรมราช!J63"")"),0)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IFERROR(__xludf.DUMMYFUNCTION("IMPORTRANGE(""https://docs.google.com/spreadsheets/d/1IYY_tgx_IHuhSq3AJ5eI5OnqOPBNLWSHKh2a30DoXe8/edit?usp=sharing"",""นครศรีธรรมราช!J64"")"),0)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IFERROR(__xludf.DUMMYFUNCTION("IMPORTRANGE(""https://docs.google.com/spreadsheets/d/1IYY_tgx_IHuhSq3AJ5eI5OnqOPBNLWSHKh2a30DoXe8/edit?usp=sharing"",""นครศรีธรรมราช!J65"")"),0)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IFERROR(__xludf.DUMMYFUNCTION("IMPORTRANGE(""https://docs.google.com/spreadsheets/d/1IYY_tgx_IHuhSq3AJ5eI5OnqOPBNLWSHKh2a30DoXe8/edit?usp=sharing"",""นครศรีธรรมราช!I68"")"),100)</f>
        <v>100</v>
      </c>
      <c r="J138" s="273">
        <f ca="1">IFERROR(__xludf.DUMMYFUNCTION("IMPORTRANGE(""https://docs.google.com/spreadsheets/d/1IYY_tgx_IHuhSq3AJ5eI5OnqOPBNLWSHKh2a30DoXe8/edit?usp=sharing"",""นครศรีธรรมราช!J68"")"),72)</f>
        <v>72</v>
      </c>
      <c r="K138" s="274">
        <f ca="1">IF(I138&gt;0,J138*100/I138,0)</f>
        <v>72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818600</v>
      </c>
      <c r="M140" s="156">
        <f t="shared" ca="1" si="64"/>
        <v>662555</v>
      </c>
      <c r="N140" s="156">
        <f t="shared" ca="1" si="64"/>
        <v>425385.68</v>
      </c>
      <c r="O140" s="155">
        <f t="shared" ref="O140:O142" ca="1" si="65">IF(L140&gt;0,N140*100/L140,0)</f>
        <v>51.965023210359149</v>
      </c>
      <c r="P140" s="155">
        <f t="shared" ref="P140:P142" ca="1" si="66">IF(M140&gt;0,N140*100/M140,0)</f>
        <v>64.203829116073379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818600</v>
      </c>
      <c r="M142" s="161">
        <f t="shared" ca="1" si="68"/>
        <v>662555</v>
      </c>
      <c r="N142" s="161">
        <f t="shared" ca="1" si="68"/>
        <v>425385.68</v>
      </c>
      <c r="O142" s="160">
        <f t="shared" ca="1" si="65"/>
        <v>51.965023210359149</v>
      </c>
      <c r="P142" s="160">
        <f t="shared" ca="1" si="66"/>
        <v>64.203829116073379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818600</v>
      </c>
      <c r="M144" s="173">
        <f ca="1">IFERROR(__xludf.DUMMYFUNCTION("IMPORTRANGE(""https://docs.google.com/spreadsheets/d/1Yj_ptqi66GCucihVvJfMjLAmec39IyEx_6qawtMGysU/edit?usp=sharing"",""สบก!BJ84"")"),662555)</f>
        <v>662555</v>
      </c>
      <c r="N144" s="174">
        <f ca="1">IFERROR(__xludf.DUMMYFUNCTION("IMPORTRANGE(""https://docs.google.com/spreadsheets/d/1Yj_ptqi66GCucihVvJfMjLAmec39IyEx_6qawtMGysU/edit?usp=sharing"",""สบก!BK84"")"),425385.68)</f>
        <v>425385.68</v>
      </c>
      <c r="O144" s="175">
        <f ca="1">IF(L144&gt;0,N144*100/L144,0)</f>
        <v>51.965023210359149</v>
      </c>
      <c r="P144" s="175">
        <f ca="1">IF(M144&gt;0,N144*100/M144,0)</f>
        <v>64.203829116073379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IFERROR(__xludf.DUMMYFUNCTION("IMPORTRANGE(""https://docs.google.com/spreadsheets/d/1Yj_ptqi66GCucihVvJfMjLAmec39IyEx_6qawtMGysU/edit?usp=sharing"",""สบก!BF84"")"),330100)</f>
        <v>330100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IFERROR(__xludf.DUMMYFUNCTION("IMPORTRANGE(""https://docs.google.com/spreadsheets/d/1Yj_ptqi66GCucihVvJfMjLAmec39IyEx_6qawtMGysU/edit?usp=sharing"",""สบก!BG84"")"),488500)</f>
        <v>488500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IFERROR(__xludf.DUMMYFUNCTION("IMPORTRANGE(""https://docs.google.com/spreadsheets/d/1Yj_ptqi66GCucihVvJfMjLAmec39IyEx_6qawtMGysU/edit?usp=sharing"",""สบก!BH84"")"),0)</f>
        <v>0</v>
      </c>
      <c r="M148" s="101"/>
      <c r="N148" s="91">
        <f ca="1">IFERROR(__xludf.DUMMYFUNCTION("IMPORTRANGE(""https://docs.google.com/spreadsheets/d/1Yj_ptqi66GCucihVvJfMjLAmec39IyEx_6qawtMGysU/edit?usp=sharing"",""สบก!BL84"")"),0)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IFERROR(__xludf.DUMMYFUNCTION("IMPORTRANGE(""https://docs.google.com/spreadsheets/d/1IYY_tgx_IHuhSq3AJ5eI5OnqOPBNLWSHKh2a30DoXe8/edit?usp=sharing"",""นครศรีธรรมราช!I74"")"),4)</f>
        <v>4</v>
      </c>
      <c r="J149" s="281">
        <f ca="1">IFERROR(__xludf.DUMMYFUNCTION("IMPORTRANGE(""https://docs.google.com/spreadsheets/d/1IYY_tgx_IHuhSq3AJ5eI5OnqOPBNLWSHKh2a30DoXe8/edit?usp=sharing"",""นครศรีธรรมราช!J74"")"),2)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IFERROR(__xludf.DUMMYFUNCTION("IMPORTRANGE(""https://docs.google.com/spreadsheets/d/1IYY_tgx_IHuhSq3AJ5eI5OnqOPBNLWSHKh2a30DoXe8/edit?usp=sharing"",""นครศรีธรรมราช!J79"")"),0)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IFERROR(__xludf.DUMMYFUNCTION("IMPORTRANGE(""https://docs.google.com/spreadsheets/d/1IYY_tgx_IHuhSq3AJ5eI5OnqOPBNLWSHKh2a30DoXe8/edit?usp=sharing"",""นครศรีธรรมราช!J80"")"),1)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IFERROR(__xludf.DUMMYFUNCTION("IMPORTRANGE(""https://docs.google.com/spreadsheets/d/1IYY_tgx_IHuhSq3AJ5eI5OnqOPBNLWSHKh2a30DoXe8/edit?usp=sharing"",""นครศรีธรรมราช!J81"")"),1)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IFERROR(__xludf.DUMMYFUNCTION("IMPORTRANGE(""https://docs.google.com/spreadsheets/d/1IYY_tgx_IHuhSq3AJ5eI5OnqOPBNLWSHKh2a30DoXe8/edit?usp=sharing"",""นครศรีธรรมราช!J82"")"),1)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IFERROR(__xludf.DUMMYFUNCTION("IMPORTRANGE(""https://docs.google.com/spreadsheets/d/1IYY_tgx_IHuhSq3AJ5eI5OnqOPBNLWSHKh2a30DoXe8/edit?usp=sharing"",""นครศรีธรรมราช!I83"")"),4)</f>
        <v>4</v>
      </c>
      <c r="J158" s="195">
        <f ca="1">IFERROR(__xludf.DUMMYFUNCTION("IMPORTRANGE(""https://docs.google.com/spreadsheets/d/1IYY_tgx_IHuhSq3AJ5eI5OnqOPBNLWSHKh2a30DoXe8/edit?usp=sharing"",""นครศรีธรรมราช!J83"")"),2)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IFERROR(__xludf.DUMMYFUNCTION("IMPORTRANGE(""https://docs.google.com/spreadsheets/d/1IYY_tgx_IHuhSq3AJ5eI5OnqOPBNLWSHKh2a30DoXe8/edit?usp=sharing"",""นครศรีธรรมราช!J84"")"),55)</f>
        <v>55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IFERROR(__xludf.DUMMYFUNCTION("IMPORTRANGE(""https://docs.google.com/spreadsheets/d/1IYY_tgx_IHuhSq3AJ5eI5OnqOPBNLWSHKh2a30DoXe8/edit?usp=sharing"",""นครศรีธรรมราช!J85"")"),55)</f>
        <v>55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IFERROR(__xludf.DUMMYFUNCTION("IMPORTRANGE(""https://docs.google.com/spreadsheets/d/1IYY_tgx_IHuhSq3AJ5eI5OnqOPBNLWSHKh2a30DoXe8/edit?usp=sharing"",""นครศรีธรรมราช!J86"")"),0)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IFERROR(__xludf.DUMMYFUNCTION("IMPORTRANGE(""https://docs.google.com/spreadsheets/d/1IYY_tgx_IHuhSq3AJ5eI5OnqOPBNLWSHKh2a30DoXe8/edit?usp=sharing"",""นครศรีธรรมราช!J87"")"),0)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IFERROR(__xludf.DUMMYFUNCTION("IMPORTRANGE(""https://docs.google.com/spreadsheets/d/1IYY_tgx_IHuhSq3AJ5eI5OnqOPBNLWSHKh2a30DoXe8/edit?usp=sharing"",""นครศรีธรรมราช!J88"")"),0)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IFERROR(__xludf.DUMMYFUNCTION("IMPORTRANGE(""https://docs.google.com/spreadsheets/d/1IYY_tgx_IHuhSq3AJ5eI5OnqOPBNLWSHKh2a30DoXe8/edit?usp=sharing"",""นครศรีธรรมราช!I89"")"),4)</f>
        <v>4</v>
      </c>
      <c r="J164" s="290">
        <f ca="1">IFERROR(__xludf.DUMMYFUNCTION("IMPORTRANGE(""https://docs.google.com/spreadsheets/d/1IYY_tgx_IHuhSq3AJ5eI5OnqOPBNLWSHKh2a30DoXe8/edit?usp=sharing"",""นครศรีธรรมราช!J89"")"),4)</f>
        <v>4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IFERROR(__xludf.DUMMYFUNCTION("IMPORTRANGE(""https://docs.google.com/spreadsheets/d/1IYY_tgx_IHuhSq3AJ5eI5OnqOPBNLWSHKh2a30DoXe8/edit?usp=sharing"",""นครศรีธรรมราช!J94"")"),0)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IFERROR(__xludf.DUMMYFUNCTION("IMPORTRANGE(""https://docs.google.com/spreadsheets/d/1IYY_tgx_IHuhSq3AJ5eI5OnqOPBNLWSHKh2a30DoXe8/edit?usp=sharing"",""นครศรีธรรมราช!J95"")"),1)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IFERROR(__xludf.DUMMYFUNCTION("IMPORTRANGE(""https://docs.google.com/spreadsheets/d/1IYY_tgx_IHuhSq3AJ5eI5OnqOPBNLWSHKh2a30DoXe8/edit?usp=sharing"",""นครศรีธรรมราช!J96"")"),1)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IFERROR(__xludf.DUMMYFUNCTION("IMPORTRANGE(""https://docs.google.com/spreadsheets/d/1IYY_tgx_IHuhSq3AJ5eI5OnqOPBNLWSHKh2a30DoXe8/edit?usp=sharing"",""นครศรีธรรมราช!J97"")"),1)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IFERROR(__xludf.DUMMYFUNCTION("IMPORTRANGE(""https://docs.google.com/spreadsheets/d/1IYY_tgx_IHuhSq3AJ5eI5OnqOPBNLWSHKh2a30DoXe8/edit?usp=sharing"",""นครศรีธรรมราช!I98"")"),4)</f>
        <v>4</v>
      </c>
      <c r="J173" s="195">
        <f ca="1">IFERROR(__xludf.DUMMYFUNCTION("IMPORTRANGE(""https://docs.google.com/spreadsheets/d/1IYY_tgx_IHuhSq3AJ5eI5OnqOPBNLWSHKh2a30DoXe8/edit?usp=sharing"",""นครศรีธรรมราช!J98"")"),4)</f>
        <v>4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IFERROR(__xludf.DUMMYFUNCTION("IMPORTRANGE(""https://docs.google.com/spreadsheets/d/1IYY_tgx_IHuhSq3AJ5eI5OnqOPBNLWSHKh2a30DoXe8/edit?usp=sharing"",""นครศรีธรรมราช!J99"")"),0)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IFERROR(__xludf.DUMMYFUNCTION("IMPORTRANGE(""https://docs.google.com/spreadsheets/d/1IYY_tgx_IHuhSq3AJ5eI5OnqOPBNLWSHKh2a30DoXe8/edit?usp=sharing"",""นครศรีธรรมราช!J100"")"),0)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IFERROR(__xludf.DUMMYFUNCTION("IMPORTRANGE(""https://docs.google.com/spreadsheets/d/1IYY_tgx_IHuhSq3AJ5eI5OnqOPBNLWSHKh2a30DoXe8/edit?usp=sharing"",""นครศรีธรรมราช!I101"")"),2)</f>
        <v>2</v>
      </c>
      <c r="J176" s="290">
        <f ca="1">IFERROR(__xludf.DUMMYFUNCTION("IMPORTRANGE(""https://docs.google.com/spreadsheets/d/1IYY_tgx_IHuhSq3AJ5eI5OnqOPBNLWSHKh2a30DoXe8/edit?usp=sharing"",""นครศรีธรรมราช!J101"")"),0)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IFERROR(__xludf.DUMMYFUNCTION("IMPORTRANGE(""https://docs.google.com/spreadsheets/d/1IYY_tgx_IHuhSq3AJ5eI5OnqOPBNLWSHKh2a30DoXe8/edit?usp=sharing"",""นครศรีธรรมราช!J106"")"),0)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IFERROR(__xludf.DUMMYFUNCTION("IMPORTRANGE(""https://docs.google.com/spreadsheets/d/1IYY_tgx_IHuhSq3AJ5eI5OnqOPBNLWSHKh2a30DoXe8/edit?usp=sharing"",""นครศรีธรรมราช!J107"")"),1)</f>
        <v>1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IFERROR(__xludf.DUMMYFUNCTION("IMPORTRANGE(""https://docs.google.com/spreadsheets/d/1IYY_tgx_IHuhSq3AJ5eI5OnqOPBNLWSHKh2a30DoXe8/edit?usp=sharing"",""นครศรีธรรมราช!J108"")"),1)</f>
        <v>1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IFERROR(__xludf.DUMMYFUNCTION("IMPORTRANGE(""https://docs.google.com/spreadsheets/d/1IYY_tgx_IHuhSq3AJ5eI5OnqOPBNLWSHKh2a30DoXe8/edit?usp=sharing"",""นครศรีธรรมราช!J109"")"),1)</f>
        <v>1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IFERROR(__xludf.DUMMYFUNCTION("IMPORTRANGE(""https://docs.google.com/spreadsheets/d/1IYY_tgx_IHuhSq3AJ5eI5OnqOPBNLWSHKh2a30DoXe8/edit?usp=sharing"",""นครศรีธรรมราช!I110"")"),2)</f>
        <v>2</v>
      </c>
      <c r="J185" s="210">
        <f ca="1">IFERROR(__xludf.DUMMYFUNCTION("IMPORTRANGE(""https://docs.google.com/spreadsheets/d/1IYY_tgx_IHuhSq3AJ5eI5OnqOPBNLWSHKh2a30DoXe8/edit?usp=sharing"",""นครศรีธรรมราช!J110"")"),0)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IFERROR(__xludf.DUMMYFUNCTION("IMPORTRANGE(""https://docs.google.com/spreadsheets/d/1IYY_tgx_IHuhSq3AJ5eI5OnqOPBNLWSHKh2a30DoXe8/edit?usp=sharing"",""นครศรีธรรมราช!I111"")"),2)</f>
        <v>2</v>
      </c>
      <c r="J186" s="210">
        <f ca="1">IFERROR(__xludf.DUMMYFUNCTION("IMPORTRANGE(""https://docs.google.com/spreadsheets/d/1IYY_tgx_IHuhSq3AJ5eI5OnqOPBNLWSHKh2a30DoXe8/edit?usp=sharing"",""นครศรีธรรมราช!J111"")"),0)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IFERROR(__xludf.DUMMYFUNCTION("IMPORTRANGE(""https://docs.google.com/spreadsheets/d/1IYY_tgx_IHuhSq3AJ5eI5OnqOPBNLWSHKh2a30DoXe8/edit?usp=sharing"",""นครศรีธรรมราช!J112"")"),0)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IFERROR(__xludf.DUMMYFUNCTION("IMPORTRANGE(""https://docs.google.com/spreadsheets/d/1IYY_tgx_IHuhSq3AJ5eI5OnqOPBNLWSHKh2a30DoXe8/edit?usp=sharing"",""นครศรีธรรมราช!J113"")"),0)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IFERROR(__xludf.DUMMYFUNCTION("IMPORTRANGE(""https://docs.google.com/spreadsheets/d/1IYY_tgx_IHuhSq3AJ5eI5OnqOPBNLWSHKh2a30DoXe8/edit?usp=sharing"",""นครศรีธรรมราช!I114"")"),50000)</f>
        <v>50000</v>
      </c>
      <c r="J189" s="290">
        <f ca="1">IFERROR(__xludf.DUMMYFUNCTION("IMPORTRANGE(""https://docs.google.com/spreadsheets/d/1IYY_tgx_IHuhSq3AJ5eI5OnqOPBNLWSHKh2a30DoXe8/edit?usp=sharing"",""นครศรีธรรมราช!J114"")"),0)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IFERROR(__xludf.DUMMYFUNCTION("IMPORTRANGE(""https://docs.google.com/spreadsheets/d/1IYY_tgx_IHuhSq3AJ5eI5OnqOPBNLWSHKh2a30DoXe8/edit?usp=sharing"",""นครศรีธรรมราช!J119"")"),0)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IFERROR(__xludf.DUMMYFUNCTION("IMPORTRANGE(""https://docs.google.com/spreadsheets/d/1IYY_tgx_IHuhSq3AJ5eI5OnqOPBNLWSHKh2a30DoXe8/edit?usp=sharing"",""นครศรีธรรมราช!J120"")"),1)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IFERROR(__xludf.DUMMYFUNCTION("IMPORTRANGE(""https://docs.google.com/spreadsheets/d/1IYY_tgx_IHuhSq3AJ5eI5OnqOPBNLWSHKh2a30DoXe8/edit?usp=sharing"",""นครศรีธรรมราช!J121"")"),1)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IFERROR(__xludf.DUMMYFUNCTION("IMPORTRANGE(""https://docs.google.com/spreadsheets/d/1IYY_tgx_IHuhSq3AJ5eI5OnqOPBNLWSHKh2a30DoXe8/edit?usp=sharing"",""นครศรีธรรมราช!J122"")"),1)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IFERROR(__xludf.DUMMYFUNCTION("IMPORTRANGE(""https://docs.google.com/spreadsheets/d/1IYY_tgx_IHuhSq3AJ5eI5OnqOPBNLWSHKh2a30DoXe8/edit?usp=sharing"",""นครศรีธรรมราช!I124"")"),50000)</f>
        <v>50000</v>
      </c>
      <c r="J199" s="195">
        <f ca="1">IFERROR(__xludf.DUMMYFUNCTION("IMPORTRANGE(""https://docs.google.com/spreadsheets/d/1IYY_tgx_IHuhSq3AJ5eI5OnqOPBNLWSHKh2a30DoXe8/edit?usp=sharing"",""นครศรีธรรมราช!J124"")"),0)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IFERROR(__xludf.DUMMYFUNCTION("IMPORTRANGE(""https://docs.google.com/spreadsheets/d/1IYY_tgx_IHuhSq3AJ5eI5OnqOPBNLWSHKh2a30DoXe8/edit?usp=sharing"",""นครศรีธรรมราช!I125"")"),50000)</f>
        <v>50000</v>
      </c>
      <c r="J200" s="195">
        <f ca="1">IFERROR(__xludf.DUMMYFUNCTION("IMPORTRANGE(""https://docs.google.com/spreadsheets/d/1IYY_tgx_IHuhSq3AJ5eI5OnqOPBNLWSHKh2a30DoXe8/edit?usp=sharing"",""นครศรีธรรมราช!J125"")"),0)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IFERROR(__xludf.DUMMYFUNCTION("IMPORTRANGE(""https://docs.google.com/spreadsheets/d/1IYY_tgx_IHuhSq3AJ5eI5OnqOPBNLWSHKh2a30DoXe8/edit?usp=sharing"",""นครศรีธรรมราช!I126"")"),0)</f>
        <v>0</v>
      </c>
      <c r="J201" s="195">
        <f ca="1">IFERROR(__xludf.DUMMYFUNCTION("IMPORTRANGE(""https://docs.google.com/spreadsheets/d/1IYY_tgx_IHuhSq3AJ5eI5OnqOPBNLWSHKh2a30DoXe8/edit?usp=sharing"",""นครศรีธรรมราช!J126"")"),0)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IFERROR(__xludf.DUMMYFUNCTION("IMPORTRANGE(""https://docs.google.com/spreadsheets/d/1IYY_tgx_IHuhSq3AJ5eI5OnqOPBNLWSHKh2a30DoXe8/edit?usp=sharing"",""นครศรีธรรมราช!J127"")"),0)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IFERROR(__xludf.DUMMYFUNCTION("IMPORTRANGE(""https://docs.google.com/spreadsheets/d/1IYY_tgx_IHuhSq3AJ5eI5OnqOPBNLWSHKh2a30DoXe8/edit?usp=sharing"",""นครศรีธรรมราช!J128"")"),0)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IFERROR(__xludf.DUMMYFUNCTION("IMPORTRANGE(""https://docs.google.com/spreadsheets/d/1IYY_tgx_IHuhSq3AJ5eI5OnqOPBNLWSHKh2a30DoXe8/edit?usp=sharing"",""นครศรีธรรมราช!I129"")"),100)</f>
        <v>100</v>
      </c>
      <c r="J204" s="290">
        <f ca="1">IFERROR(__xludf.DUMMYFUNCTION("IMPORTRANGE(""https://docs.google.com/spreadsheets/d/1IYY_tgx_IHuhSq3AJ5eI5OnqOPBNLWSHKh2a30DoXe8/edit?usp=sharing"",""นครศรีธรรมราช!J129"")"),72)</f>
        <v>72</v>
      </c>
      <c r="K204" s="291">
        <f ca="1">IF(I204&gt;0,J204*100/I204,0)</f>
        <v>72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IFERROR(__xludf.DUMMYFUNCTION("IMPORTRANGE(""https://docs.google.com/spreadsheets/d/1IYY_tgx_IHuhSq3AJ5eI5OnqOPBNLWSHKh2a30DoXe8/edit?usp=sharing"",""นครศรีธรรมราช!J134"")"),0)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IFERROR(__xludf.DUMMYFUNCTION("IMPORTRANGE(""https://docs.google.com/spreadsheets/d/1IYY_tgx_IHuhSq3AJ5eI5OnqOPBNLWSHKh2a30DoXe8/edit?usp=sharing"",""นครศรีธรรมราช!J135"")"),1)</f>
        <v>1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IFERROR(__xludf.DUMMYFUNCTION("IMPORTRANGE(""https://docs.google.com/spreadsheets/d/1IYY_tgx_IHuhSq3AJ5eI5OnqOPBNLWSHKh2a30DoXe8/edit?usp=sharing"",""นครศรีธรรมราช!J136"")"),1)</f>
        <v>1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IFERROR(__xludf.DUMMYFUNCTION("IMPORTRANGE(""https://docs.google.com/spreadsheets/d/1IYY_tgx_IHuhSq3AJ5eI5OnqOPBNLWSHKh2a30DoXe8/edit?usp=sharing"",""นครศรีธรรมราช!J137"")"),1)</f>
        <v>1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IFERROR(__xludf.DUMMYFUNCTION("IMPORTRANGE(""https://docs.google.com/spreadsheets/d/1IYY_tgx_IHuhSq3AJ5eI5OnqOPBNLWSHKh2a30DoXe8/edit?usp=sharing"",""นครศรีธรรมราช!I138"")"),100)</f>
        <v>100</v>
      </c>
      <c r="J213" s="210">
        <f ca="1">IFERROR(__xludf.DUMMYFUNCTION("IMPORTRANGE(""https://docs.google.com/spreadsheets/d/1IYY_tgx_IHuhSq3AJ5eI5OnqOPBNLWSHKh2a30DoXe8/edit?usp=sharing"",""นครศรีธรรมราช!J138"")"),72)</f>
        <v>72</v>
      </c>
      <c r="K213" s="230">
        <f ca="1">IF(I213&gt;0,J213*100/I213,0)</f>
        <v>72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IFERROR(__xludf.DUMMYFUNCTION("IMPORTRANGE(""https://docs.google.com/spreadsheets/d/1IYY_tgx_IHuhSq3AJ5eI5OnqOPBNLWSHKh2a30DoXe8/edit?usp=sharing"",""นครศรีธรรมราช!I140"")"),0)</f>
        <v>0</v>
      </c>
      <c r="J215" s="210">
        <f ca="1">IFERROR(__xludf.DUMMYFUNCTION("IMPORTRANGE(""https://docs.google.com/spreadsheets/d/1IYY_tgx_IHuhSq3AJ5eI5OnqOPBNLWSHKh2a30DoXe8/edit?usp=sharing"",""นครศรีธรรมราช!J140"")"),0)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IFERROR(__xludf.DUMMYFUNCTION("IMPORTRANGE(""https://docs.google.com/spreadsheets/d/1IYY_tgx_IHuhSq3AJ5eI5OnqOPBNLWSHKh2a30DoXe8/edit?usp=sharing"",""นครศรีธรรมราช!I141"")"),6)</f>
        <v>6</v>
      </c>
      <c r="J216" s="210">
        <f ca="1">IFERROR(__xludf.DUMMYFUNCTION("IMPORTRANGE(""https://docs.google.com/spreadsheets/d/1IYY_tgx_IHuhSq3AJ5eI5OnqOPBNLWSHKh2a30DoXe8/edit?usp=sharing"",""นครศรีธรรมราช!J141"")"),0)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IFERROR(__xludf.DUMMYFUNCTION("IMPORTRANGE(""https://docs.google.com/spreadsheets/d/1IYY_tgx_IHuhSq3AJ5eI5OnqOPBNLWSHKh2a30DoXe8/edit?usp=sharing"",""นครศรีธรรมราช!J142"")"),0)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IFERROR(__xludf.DUMMYFUNCTION("IMPORTRANGE(""https://docs.google.com/spreadsheets/d/1IYY_tgx_IHuhSq3AJ5eI5OnqOPBNLWSHKh2a30DoXe8/edit?usp=sharing"",""นครศรีธรรมราช!J143"")"),0)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IFERROR(__xludf.DUMMYFUNCTION("IMPORTRANGE(""https://docs.google.com/spreadsheets/d/1IYY_tgx_IHuhSq3AJ5eI5OnqOPBNLWSHKh2a30DoXe8/edit?usp=sharing"",""นครศรีธรรมราช!I144"")"),15)</f>
        <v>15</v>
      </c>
      <c r="J219" s="273">
        <f ca="1">IFERROR(__xludf.DUMMYFUNCTION("IMPORTRANGE(""https://docs.google.com/spreadsheets/d/1IYY_tgx_IHuhSq3AJ5eI5OnqOPBNLWSHKh2a30DoXe8/edit?usp=sharing"",""นครศรีธรรมราช!J144"")"),15)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IFERROR(__xludf.DUMMYFUNCTION("IMPORTRANGE(""https://docs.google.com/spreadsheets/d/1Yj_ptqi66GCucihVvJfMjLAmec39IyEx_6qawtMGysU/edit?usp=sharing"",""สบก!BS84"")"),21125)</f>
        <v>21125</v>
      </c>
      <c r="N224" s="174">
        <f ca="1">IFERROR(__xludf.DUMMYFUNCTION("IMPORTRANGE(""https://docs.google.com/spreadsheets/d/1Yj_ptqi66GCucihVvJfMjLAmec39IyEx_6qawtMGysU/edit?usp=sharing"",""สบก!BT84"")"),21125)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IFERROR(__xludf.DUMMYFUNCTION("IMPORTRANGE(""https://docs.google.com/spreadsheets/d/1Yj_ptqi66GCucihVvJfMjLAmec39IyEx_6qawtMGysU/edit?usp=sharing"",""สบก!BO84"")"),0)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IFERROR(__xludf.DUMMYFUNCTION("IMPORTRANGE(""https://docs.google.com/spreadsheets/d/1Yj_ptqi66GCucihVvJfMjLAmec39IyEx_6qawtMGysU/edit?usp=sharing"",""สบก!BP84"")"),21125)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IFERROR(__xludf.DUMMYFUNCTION("IMPORTRANGE(""https://docs.google.com/spreadsheets/d/1Yj_ptqi66GCucihVvJfMjLAmec39IyEx_6qawtMGysU/edit?usp=sharing"",""สบก!BQ84"")"),0)</f>
        <v>0</v>
      </c>
      <c r="M228" s="101"/>
      <c r="N228" s="91">
        <f ca="1">IFERROR(__xludf.DUMMYFUNCTION("IMPORTRANGE(""https://docs.google.com/spreadsheets/d/1Yj_ptqi66GCucihVvJfMjLAmec39IyEx_6qawtMGysU/edit?usp=sharing"",""สบก!BU84"")"),0)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IFERROR(__xludf.DUMMYFUNCTION("IMPORTRANGE(""https://docs.google.com/spreadsheets/d/1IYY_tgx_IHuhSq3AJ5eI5OnqOPBNLWSHKh2a30DoXe8/edit?usp=sharing"",""นครศรีธรรมราช!I149"")"),15)</f>
        <v>15</v>
      </c>
      <c r="J229" s="273">
        <f ca="1">IFERROR(__xludf.DUMMYFUNCTION("IMPORTRANGE(""https://docs.google.com/spreadsheets/d/1IYY_tgx_IHuhSq3AJ5eI5OnqOPBNLWSHKh2a30DoXe8/edit?usp=sharing"",""นครศรีธรรมราช!J149"")"),15)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IFERROR(__xludf.DUMMYFUNCTION("IMPORTRANGE(""https://docs.google.com/spreadsheets/d/1IYY_tgx_IHuhSq3AJ5eI5OnqOPBNLWSHKh2a30DoXe8/edit?usp=sharing"",""นครศรีธรรมราช!J151"")"),0)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IFERROR(__xludf.DUMMYFUNCTION("IMPORTRANGE(""https://docs.google.com/spreadsheets/d/1IYY_tgx_IHuhSq3AJ5eI5OnqOPBNLWSHKh2a30DoXe8/edit?usp=sharing"",""นครศรีธรรมราช!J152"")"),1)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IFERROR(__xludf.DUMMYFUNCTION("IMPORTRANGE(""https://docs.google.com/spreadsheets/d/1IYY_tgx_IHuhSq3AJ5eI5OnqOPBNLWSHKh2a30DoXe8/edit?usp=sharing"",""นครศรีธรรมราช!J153"")"),1)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IFERROR(__xludf.DUMMYFUNCTION("IMPORTRANGE(""https://docs.google.com/spreadsheets/d/1IYY_tgx_IHuhSq3AJ5eI5OnqOPBNLWSHKh2a30DoXe8/edit?usp=sharing"",""นครศรีธรรมราช!J154"")"),1)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IFERROR(__xludf.DUMMYFUNCTION("IMPORTRANGE(""https://docs.google.com/spreadsheets/d/1IYY_tgx_IHuhSq3AJ5eI5OnqOPBNLWSHKh2a30DoXe8/edit?usp=sharing"",""นครศรีธรรมราช!I155"")"),15)</f>
        <v>15</v>
      </c>
      <c r="J235" s="195">
        <f ca="1">IFERROR(__xludf.DUMMYFUNCTION("IMPORTRANGE(""https://docs.google.com/spreadsheets/d/1IYY_tgx_IHuhSq3AJ5eI5OnqOPBNLWSHKh2a30DoXe8/edit?usp=sharing"",""นครศรีธรรมราช!J155"")"),15)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IFERROR(__xludf.DUMMYFUNCTION("IMPORTRANGE(""https://docs.google.com/spreadsheets/d/1IYY_tgx_IHuhSq3AJ5eI5OnqOPBNLWSHKh2a30DoXe8/edit?usp=sharing"",""นครศรีธรรมราช!J156"")"),1)</f>
        <v>1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IFERROR(__xludf.DUMMYFUNCTION("IMPORTRANGE(""https://docs.google.com/spreadsheets/d/1IYY_tgx_IHuhSq3AJ5eI5OnqOPBNLWSHKh2a30DoXe8/edit?usp=sharing"",""นครศรีธรรมราช!J157"")"),0)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IFERROR(__xludf.DUMMYFUNCTION("IMPORTRANGE(""https://docs.google.com/spreadsheets/d/1IYY_tgx_IHuhSq3AJ5eI5OnqOPBNLWSHKh2a30DoXe8/edit?usp=sharing"",""นครศรีธรรมราช!I158"")"),0)</f>
        <v>0</v>
      </c>
      <c r="J238" s="273">
        <f ca="1">IFERROR(__xludf.DUMMYFUNCTION("IMPORTRANGE(""https://docs.google.com/spreadsheets/d/1IYY_tgx_IHuhSq3AJ5eI5OnqOPBNLWSHKh2a30DoXe8/edit?usp=sharing"",""นครศรีธรรมราช!J158"")"),0)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IFERROR(__xludf.DUMMYFUNCTION("IMPORTRANGE(""https://docs.google.com/spreadsheets/d/1IYY_tgx_IHuhSq3AJ5eI5OnqOPBNLWSHKh2a30DoXe8/edit?usp=sharing"",""นครศรีธรรมราช!J159"")"),"")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IFERROR(__xludf.DUMMYFUNCTION("IMPORTRANGE(""https://docs.google.com/spreadsheets/d/1IYY_tgx_IHuhSq3AJ5eI5OnqOPBNLWSHKh2a30DoXe8/edit?usp=sharing"",""นครศรีธรรมราช!J161"")"),0)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IFERROR(__xludf.DUMMYFUNCTION("IMPORTRANGE(""https://docs.google.com/spreadsheets/d/1IYY_tgx_IHuhSq3AJ5eI5OnqOPBNLWSHKh2a30DoXe8/edit?usp=sharing"",""นครศรีธรรมราช!J162"")"),0)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IFERROR(__xludf.DUMMYFUNCTION("IMPORTRANGE(""https://docs.google.com/spreadsheets/d/1IYY_tgx_IHuhSq3AJ5eI5OnqOPBNLWSHKh2a30DoXe8/edit?usp=sharing"",""นครศรีธรรมราช!J163"")"),0)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IFERROR(__xludf.DUMMYFUNCTION("IMPORTRANGE(""https://docs.google.com/spreadsheets/d/1IYY_tgx_IHuhSq3AJ5eI5OnqOPBNLWSHKh2a30DoXe8/edit?usp=sharing"",""นครศรีธรรมราช!I164"")"),0)</f>
        <v>0</v>
      </c>
      <c r="J244" s="194">
        <f ca="1">IFERROR(__xludf.DUMMYFUNCTION("IMPORTRANGE(""https://docs.google.com/spreadsheets/d/1IYY_tgx_IHuhSq3AJ5eI5OnqOPBNLWSHKh2a30DoXe8/edit?usp=sharing"",""นครศรีธรรมราช!J164"")"),0)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IFERROR(__xludf.DUMMYFUNCTION("IMPORTRANGE(""https://docs.google.com/spreadsheets/d/1IYY_tgx_IHuhSq3AJ5eI5OnqOPBNLWSHKh2a30DoXe8/edit?usp=sharing"",""นครศรีธรรมราช!J165"")"),0)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IFERROR(__xludf.DUMMYFUNCTION("IMPORTRANGE(""https://docs.google.com/spreadsheets/d/1IYY_tgx_IHuhSq3AJ5eI5OnqOPBNLWSHKh2a30DoXe8/edit?usp=sharing"",""นครศรีธรรมราช!J166"")"),0)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IFERROR(__xludf.DUMMYFUNCTION("IMPORTRANGE(""https://docs.google.com/spreadsheets/d/1IYY_tgx_IHuhSq3AJ5eI5OnqOPBNLWSHKh2a30DoXe8/edit?usp=sharing"",""นครศรีธรรมราช!I169"")"),0)</f>
        <v>0</v>
      </c>
      <c r="J249" s="322">
        <f ca="1">IFERROR(__xludf.DUMMYFUNCTION("IMPORTRANGE(""https://docs.google.com/spreadsheets/d/1IYY_tgx_IHuhSq3AJ5eI5OnqOPBNLWSHKh2a30DoXe8/edit?usp=sharing"",""นครศรีธรรมราช!J169"")"),0)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IFERROR(__xludf.DUMMYFUNCTION("IMPORTRANGE(""https://docs.google.com/spreadsheets/d/1Yj_ptqi66GCucihVvJfMjLAmec39IyEx_6qawtMGysU/edit?usp=sharing"",""สบก!CB84"")"),0)</f>
        <v>0</v>
      </c>
      <c r="N254" s="174">
        <f ca="1">IFERROR(__xludf.DUMMYFUNCTION("IMPORTRANGE(""https://docs.google.com/spreadsheets/d/1Yj_ptqi66GCucihVvJfMjLAmec39IyEx_6qawtMGysU/edit?usp=sharing"",""สบก!CC84"")"),0)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IFERROR(__xludf.DUMMYFUNCTION("IMPORTRANGE(""https://docs.google.com/spreadsheets/d/1Yj_ptqi66GCucihVvJfMjLAmec39IyEx_6qawtMGysU/edit?usp=sharing"",""สบก!BX84"")"),0)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IFERROR(__xludf.DUMMYFUNCTION("IMPORTRANGE(""https://docs.google.com/spreadsheets/d/1Yj_ptqi66GCucihVvJfMjLAmec39IyEx_6qawtMGysU/edit?usp=sharing"",""สบก!BY84"")"),0)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IFERROR(__xludf.DUMMYFUNCTION("IMPORTRANGE(""https://docs.google.com/spreadsheets/d/1Yj_ptqi66GCucihVvJfMjLAmec39IyEx_6qawtMGysU/edit?usp=sharing"",""สบก!BZ84"")"),0)</f>
        <v>0</v>
      </c>
      <c r="M258" s="101"/>
      <c r="N258" s="91">
        <f ca="1">IFERROR(__xludf.DUMMYFUNCTION("IMPORTRANGE(""https://docs.google.com/spreadsheets/d/1Yj_ptqi66GCucihVvJfMjLAmec39IyEx_6qawtMGysU/edit?usp=sharing"",""สบก!CD84"")"),0)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IFERROR(__xludf.DUMMYFUNCTION("IMPORTRANGE(""https://docs.google.com/spreadsheets/d/1IYY_tgx_IHuhSq3AJ5eI5OnqOPBNLWSHKh2a30DoXe8/edit?usp=sharing"",""นครศรีธรรมราช!J175"")"),0)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IFERROR(__xludf.DUMMYFUNCTION("IMPORTRANGE(""https://docs.google.com/spreadsheets/d/1IYY_tgx_IHuhSq3AJ5eI5OnqOPBNLWSHKh2a30DoXe8/edit?usp=sharing"",""นครศรีธรรมราช!J176"")"),0)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IFERROR(__xludf.DUMMYFUNCTION("IMPORTRANGE(""https://docs.google.com/spreadsheets/d/1IYY_tgx_IHuhSq3AJ5eI5OnqOPBNLWSHKh2a30DoXe8/edit?usp=sharing"",""นครศรีธรรมราช!J177"")"),0)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IFERROR(__xludf.DUMMYFUNCTION("IMPORTRANGE(""https://docs.google.com/spreadsheets/d/1IYY_tgx_IHuhSq3AJ5eI5OnqOPBNLWSHKh2a30DoXe8/edit?usp=sharing"",""นครศรีธรรมราช!J178"")"),0)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IFERROR(__xludf.DUMMYFUNCTION("IMPORTRANGE(""https://docs.google.com/spreadsheets/d/1IYY_tgx_IHuhSq3AJ5eI5OnqOPBNLWSHKh2a30DoXe8/edit?usp=sharing"",""นครศรีธรรมราช!I179"")"),0)</f>
        <v>0</v>
      </c>
      <c r="J264" s="195">
        <f ca="1">IFERROR(__xludf.DUMMYFUNCTION("IMPORTRANGE(""https://docs.google.com/spreadsheets/d/1IYY_tgx_IHuhSq3AJ5eI5OnqOPBNLWSHKh2a30DoXe8/edit?usp=sharing"",""นครศรีธรรมราช!J179"")"),0)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IFERROR(__xludf.DUMMYFUNCTION("IMPORTRANGE(""https://docs.google.com/spreadsheets/d/1IYY_tgx_IHuhSq3AJ5eI5OnqOPBNLWSHKh2a30DoXe8/edit?usp=sharing"",""นครศรีธรรมราช!I180"")"),0)</f>
        <v>0</v>
      </c>
      <c r="J265" s="195">
        <f ca="1">IFERROR(__xludf.DUMMYFUNCTION("IMPORTRANGE(""https://docs.google.com/spreadsheets/d/1IYY_tgx_IHuhSq3AJ5eI5OnqOPBNLWSHKh2a30DoXe8/edit?usp=sharing"",""นครศรีธรรมราช!J180"")"),0)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IFERROR(__xludf.DUMMYFUNCTION("IMPORTRANGE(""https://docs.google.com/spreadsheets/d/1IYY_tgx_IHuhSq3AJ5eI5OnqOPBNLWSHKh2a30DoXe8/edit?usp=sharing"",""นครศรีธรรมราช!I181"")"),0)</f>
        <v>0</v>
      </c>
      <c r="J266" s="195">
        <f ca="1">IFERROR(__xludf.DUMMYFUNCTION("IMPORTRANGE(""https://docs.google.com/spreadsheets/d/1IYY_tgx_IHuhSq3AJ5eI5OnqOPBNLWSHKh2a30DoXe8/edit?usp=sharing"",""นครศรีธรรมราช!J181"")"),0)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IFERROR(__xludf.DUMMYFUNCTION("IMPORTRANGE(""https://docs.google.com/spreadsheets/d/1IYY_tgx_IHuhSq3AJ5eI5OnqOPBNLWSHKh2a30DoXe8/edit?usp=sharing"",""นครศรีธรรมราช!I182"")"),0)</f>
        <v>0</v>
      </c>
      <c r="J267" s="195">
        <f ca="1">IFERROR(__xludf.DUMMYFUNCTION("IMPORTRANGE(""https://docs.google.com/spreadsheets/d/1IYY_tgx_IHuhSq3AJ5eI5OnqOPBNLWSHKh2a30DoXe8/edit?usp=sharing"",""นครศรีธรรมราช!J182"")"),0)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IFERROR(__xludf.DUMMYFUNCTION("IMPORTRANGE(""https://docs.google.com/spreadsheets/d/1IYY_tgx_IHuhSq3AJ5eI5OnqOPBNLWSHKh2a30DoXe8/edit?usp=sharing"",""นครศรีธรรมราช!J183"")"),0)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IFERROR(__xludf.DUMMYFUNCTION("IMPORTRANGE(""https://docs.google.com/spreadsheets/d/1IYY_tgx_IHuhSq3AJ5eI5OnqOPBNLWSHKh2a30DoXe8/edit?usp=sharing"",""นครศรีธรรมราช!J184"")"),0)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IFERROR(__xludf.DUMMYFUNCTION("IMPORTRANGE(""https://docs.google.com/spreadsheets/d/1IYY_tgx_IHuhSq3AJ5eI5OnqOPBNLWSHKh2a30DoXe8/edit?usp=sharing"",""นครศรีธรรมราช!I185"")"),0)</f>
        <v>0</v>
      </c>
      <c r="J270" s="322">
        <f ca="1">IFERROR(__xludf.DUMMYFUNCTION("IMPORTRANGE(""https://docs.google.com/spreadsheets/d/1IYY_tgx_IHuhSq3AJ5eI5OnqOPBNLWSHKh2a30DoXe8/edit?usp=sharing"",""นครศรีธรรมราช!J185"")"),0)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IFERROR(__xludf.DUMMYFUNCTION("IMPORTRANGE(""https://docs.google.com/spreadsheets/d/1Yj_ptqi66GCucihVvJfMjLAmec39IyEx_6qawtMGysU/edit?usp=sharing"",""สบก!CK84"")"),0)</f>
        <v>0</v>
      </c>
      <c r="N275" s="174">
        <f ca="1">IFERROR(__xludf.DUMMYFUNCTION("IMPORTRANGE(""https://docs.google.com/spreadsheets/d/1Yj_ptqi66GCucihVvJfMjLAmec39IyEx_6qawtMGysU/edit?usp=sharing"",""สบก!CL84"")"),0)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IFERROR(__xludf.DUMMYFUNCTION("IMPORTRANGE(""https://docs.google.com/spreadsheets/d/1Yj_ptqi66GCucihVvJfMjLAmec39IyEx_6qawtMGysU/edit?usp=sharing"",""สบก!CG84"")"),0)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IFERROR(__xludf.DUMMYFUNCTION("IMPORTRANGE(""https://docs.google.com/spreadsheets/d/1Yj_ptqi66GCucihVvJfMjLAmec39IyEx_6qawtMGysU/edit?usp=sharing"",""สบก!CH84"")"),0)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IFERROR(__xludf.DUMMYFUNCTION("IMPORTRANGE(""https://docs.google.com/spreadsheets/d/1Yj_ptqi66GCucihVvJfMjLAmec39IyEx_6qawtMGysU/edit?usp=sharing"",""สบก!CI84"")"),0)</f>
        <v>0</v>
      </c>
      <c r="M279" s="101"/>
      <c r="N279" s="91">
        <f ca="1">IFERROR(__xludf.DUMMYFUNCTION("IMPORTRANGE(""https://docs.google.com/spreadsheets/d/1Yj_ptqi66GCucihVvJfMjLAmec39IyEx_6qawtMGysU/edit?usp=sharing"",""สบก!CM84"")"),0)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IFERROR(__xludf.DUMMYFUNCTION("IMPORTRANGE(""https://docs.google.com/spreadsheets/d/1IYY_tgx_IHuhSq3AJ5eI5OnqOPBNLWSHKh2a30DoXe8/edit?usp=sharing"",""นครศรีธรรมราช!J191"")"),0)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IFERROR(__xludf.DUMMYFUNCTION("IMPORTRANGE(""https://docs.google.com/spreadsheets/d/1IYY_tgx_IHuhSq3AJ5eI5OnqOPBNLWSHKh2a30DoXe8/edit?usp=sharing"",""นครศรีธรรมราช!J192"")"),0)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IFERROR(__xludf.DUMMYFUNCTION("IMPORTRANGE(""https://docs.google.com/spreadsheets/d/1IYY_tgx_IHuhSq3AJ5eI5OnqOPBNLWSHKh2a30DoXe8/edit?usp=sharing"",""นครศรีธรรมราช!J193"")"),0)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IFERROR(__xludf.DUMMYFUNCTION("IMPORTRANGE(""https://docs.google.com/spreadsheets/d/1IYY_tgx_IHuhSq3AJ5eI5OnqOPBNLWSHKh2a30DoXe8/edit?usp=sharing"",""นครศรีธรรมราช!J194"")"),0)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IFERROR(__xludf.DUMMYFUNCTION("IMPORTRANGE(""https://docs.google.com/spreadsheets/d/1IYY_tgx_IHuhSq3AJ5eI5OnqOPBNLWSHKh2a30DoXe8/edit?usp=sharing"",""นครศรีธรรมราช!I195"")"),0)</f>
        <v>0</v>
      </c>
      <c r="J285" s="195">
        <f ca="1">IFERROR(__xludf.DUMMYFUNCTION("IMPORTRANGE(""https://docs.google.com/spreadsheets/d/1IYY_tgx_IHuhSq3AJ5eI5OnqOPBNLWSHKh2a30DoXe8/edit?usp=sharing"",""นครศรีธรรมราช!J195"")"),0)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IFERROR(__xludf.DUMMYFUNCTION("IMPORTRANGE(""https://docs.google.com/spreadsheets/d/1IYY_tgx_IHuhSq3AJ5eI5OnqOPBNLWSHKh2a30DoXe8/edit?usp=sharing"",""นครศรีธรรมราช!J196"")"),0)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IFERROR(__xludf.DUMMYFUNCTION("IMPORTRANGE(""https://docs.google.com/spreadsheets/d/1IYY_tgx_IHuhSq3AJ5eI5OnqOPBNLWSHKh2a30DoXe8/edit?usp=sharing"",""นครศรีธรรมราช!J197"")"),0)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IFERROR(__xludf.DUMMYFUNCTION("IMPORTRANGE(""https://docs.google.com/spreadsheets/d/1IYY_tgx_IHuhSq3AJ5eI5OnqOPBNLWSHKh2a30DoXe8/edit?usp=sharing"",""นครศรีธรรมราช!I199"")"),0)</f>
        <v>0</v>
      </c>
      <c r="J289" s="322">
        <f ca="1">IFERROR(__xludf.DUMMYFUNCTION("IMPORTRANGE(""https://docs.google.com/spreadsheets/d/1IYY_tgx_IHuhSq3AJ5eI5OnqOPBNLWSHKh2a30DoXe8/edit?usp=sharing"",""นครศรีธรรมราช!J199"")"),0)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IFERROR(__xludf.DUMMYFUNCTION("IMPORTRANGE(""https://docs.google.com/spreadsheets/d/1Yj_ptqi66GCucihVvJfMjLAmec39IyEx_6qawtMGysU/edit?usp=sharing"",""สบก!CT84"")"),0)</f>
        <v>0</v>
      </c>
      <c r="N294" s="174">
        <f ca="1">IFERROR(__xludf.DUMMYFUNCTION("IMPORTRANGE(""https://docs.google.com/spreadsheets/d/1Yj_ptqi66GCucihVvJfMjLAmec39IyEx_6qawtMGysU/edit?usp=sharing"",""สบก!CU84"")"),0)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IFERROR(__xludf.DUMMYFUNCTION("IMPORTRANGE(""https://docs.google.com/spreadsheets/d/1Yj_ptqi66GCucihVvJfMjLAmec39IyEx_6qawtMGysU/edit?usp=sharing"",""สบก!CP84"")"),0)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IFERROR(__xludf.DUMMYFUNCTION("IMPORTRANGE(""https://docs.google.com/spreadsheets/d/1Yj_ptqi66GCucihVvJfMjLAmec39IyEx_6qawtMGysU/edit?usp=sharing"",""สบก!CQ84"")"),0)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IFERROR(__xludf.DUMMYFUNCTION("IMPORTRANGE(""https://docs.google.com/spreadsheets/d/1Yj_ptqi66GCucihVvJfMjLAmec39IyEx_6qawtMGysU/edit?usp=sharing"",""สบก!CR84"")"),0)</f>
        <v>0</v>
      </c>
      <c r="M298" s="101"/>
      <c r="N298" s="91">
        <f ca="1">IFERROR(__xludf.DUMMYFUNCTION("IMPORTRANGE(""https://docs.google.com/spreadsheets/d/1Yj_ptqi66GCucihVvJfMjLAmec39IyEx_6qawtMGysU/edit?usp=sharing"",""สบก!CV84"")"),0)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IFERROR(__xludf.DUMMYFUNCTION("IMPORTRANGE(""https://docs.google.com/spreadsheets/d/1IYY_tgx_IHuhSq3AJ5eI5OnqOPBNLWSHKh2a30DoXe8/edit?usp=sharing"",""นครศรีธรรมราช!J205"")"),0)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IFERROR(__xludf.DUMMYFUNCTION("IMPORTRANGE(""https://docs.google.com/spreadsheets/d/1IYY_tgx_IHuhSq3AJ5eI5OnqOPBNLWSHKh2a30DoXe8/edit?usp=sharing"",""นครศรีธรรมราช!J206"")"),0)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IFERROR(__xludf.DUMMYFUNCTION("IMPORTRANGE(""https://docs.google.com/spreadsheets/d/1IYY_tgx_IHuhSq3AJ5eI5OnqOPBNLWSHKh2a30DoXe8/edit?usp=sharing"",""นครศรีธรรมราช!J207"")"),0)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IFERROR(__xludf.DUMMYFUNCTION("IMPORTRANGE(""https://docs.google.com/spreadsheets/d/1IYY_tgx_IHuhSq3AJ5eI5OnqOPBNLWSHKh2a30DoXe8/edit?usp=sharing"",""นครศรีธรรมราช!J208"")"),0)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IFERROR(__xludf.DUMMYFUNCTION("IMPORTRANGE(""https://docs.google.com/spreadsheets/d/1IYY_tgx_IHuhSq3AJ5eI5OnqOPBNLWSHKh2a30DoXe8/edit?usp=sharing"",""นครศรีธรรมราช!I209"")"),0)</f>
        <v>0</v>
      </c>
      <c r="J304" s="210">
        <f ca="1">IFERROR(__xludf.DUMMYFUNCTION("IMPORTRANGE(""https://docs.google.com/spreadsheets/d/1IYY_tgx_IHuhSq3AJ5eI5OnqOPBNLWSHKh2a30DoXe8/edit?usp=sharing"",""นครศรีธรรมราช!J209"")"),0)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IFERROR(__xludf.DUMMYFUNCTION("IMPORTRANGE(""https://docs.google.com/spreadsheets/d/1IYY_tgx_IHuhSq3AJ5eI5OnqOPBNLWSHKh2a30DoXe8/edit?usp=sharing"",""นครศรีธรรมราช!I211"")"),0)</f>
        <v>0</v>
      </c>
      <c r="J306" s="210">
        <f ca="1">IFERROR(__xludf.DUMMYFUNCTION("IMPORTRANGE(""https://docs.google.com/spreadsheets/d/1IYY_tgx_IHuhSq3AJ5eI5OnqOPBNLWSHKh2a30DoXe8/edit?usp=sharing"",""นครศรีธรรมราช!J211"")"),0)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IFERROR(__xludf.DUMMYFUNCTION("IMPORTRANGE(""https://docs.google.com/spreadsheets/d/1IYY_tgx_IHuhSq3AJ5eI5OnqOPBNLWSHKh2a30DoXe8/edit?usp=sharing"",""นครศรีธรรมราช!J212"")"),0)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IFERROR(__xludf.DUMMYFUNCTION("IMPORTRANGE(""https://docs.google.com/spreadsheets/d/1IYY_tgx_IHuhSq3AJ5eI5OnqOPBNLWSHKh2a30DoXe8/edit?usp=sharing"",""นครศรีธรรมราช!J213"")"),0)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IFERROR(__xludf.DUMMYFUNCTION("IMPORTRANGE(""https://docs.google.com/spreadsheets/d/1IYY_tgx_IHuhSq3AJ5eI5OnqOPBNLWSHKh2a30DoXe8/edit?usp=sharing"",""นครศรีธรรมราช!I214"")"),0)</f>
        <v>0</v>
      </c>
      <c r="J309" s="339">
        <f ca="1">IFERROR(__xludf.DUMMYFUNCTION("IMPORTRANGE(""https://docs.google.com/spreadsheets/d/1IYY_tgx_IHuhSq3AJ5eI5OnqOPBNLWSHKh2a30DoXe8/edit?usp=sharing"",""นครศรีธรรมราช!J214"")"),0)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IFERROR(__xludf.DUMMYFUNCTION("IMPORTRANGE(""https://docs.google.com/spreadsheets/d/1Yj_ptqi66GCucihVvJfMjLAmec39IyEx_6qawtMGysU/edit?usp=sharing"",""สบก!DC84"")"),0)</f>
        <v>0</v>
      </c>
      <c r="N314" s="174">
        <f ca="1">IFERROR(__xludf.DUMMYFUNCTION("IMPORTRANGE(""https://docs.google.com/spreadsheets/d/1Yj_ptqi66GCucihVvJfMjLAmec39IyEx_6qawtMGysU/edit?usp=sharing"",""สบก!DD84"")"),0)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IFERROR(__xludf.DUMMYFUNCTION("IMPORTRANGE(""https://docs.google.com/spreadsheets/d/1Yj_ptqi66GCucihVvJfMjLAmec39IyEx_6qawtMGysU/edit?usp=sharing"",""สบก!CY84"")"),0)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IFERROR(__xludf.DUMMYFUNCTION("IMPORTRANGE(""https://docs.google.com/spreadsheets/d/1Yj_ptqi66GCucihVvJfMjLAmec39IyEx_6qawtMGysU/edit?usp=sharing"",""สบก!CZ84"")"),0)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IFERROR(__xludf.DUMMYFUNCTION("IMPORTRANGE(""https://docs.google.com/spreadsheets/d/1Yj_ptqi66GCucihVvJfMjLAmec39IyEx_6qawtMGysU/edit?usp=sharing"",""สบก!DA84"")"),0)</f>
        <v>0</v>
      </c>
      <c r="M318" s="101"/>
      <c r="N318" s="91">
        <f ca="1">IFERROR(__xludf.DUMMYFUNCTION("IMPORTRANGE(""https://docs.google.com/spreadsheets/d/1Yj_ptqi66GCucihVvJfMjLAmec39IyEx_6qawtMGysU/edit?usp=sharing"",""สบก!DE84"")"),0)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IFERROR(__xludf.DUMMYFUNCTION("IMPORTRANGE(""https://docs.google.com/spreadsheets/d/1IYY_tgx_IHuhSq3AJ5eI5OnqOPBNLWSHKh2a30DoXe8/edit?usp=sharing"",""นครศรีธรรมราช!J220"")"),0)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IFERROR(__xludf.DUMMYFUNCTION("IMPORTRANGE(""https://docs.google.com/spreadsheets/d/1IYY_tgx_IHuhSq3AJ5eI5OnqOPBNLWSHKh2a30DoXe8/edit?usp=sharing"",""นครศรีธรรมราช!J221"")"),0)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IFERROR(__xludf.DUMMYFUNCTION("IMPORTRANGE(""https://docs.google.com/spreadsheets/d/1IYY_tgx_IHuhSq3AJ5eI5OnqOPBNLWSHKh2a30DoXe8/edit?usp=sharing"",""นครศรีธรรมราช!J222"")"),0)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IFERROR(__xludf.DUMMYFUNCTION("IMPORTRANGE(""https://docs.google.com/spreadsheets/d/1IYY_tgx_IHuhSq3AJ5eI5OnqOPBNLWSHKh2a30DoXe8/edit?usp=sharing"",""นครศรีธรรมราช!J223"")"),0)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IFERROR(__xludf.DUMMYFUNCTION("IMPORTRANGE(""https://docs.google.com/spreadsheets/d/1IYY_tgx_IHuhSq3AJ5eI5OnqOPBNLWSHKh2a30DoXe8/edit?usp=sharing"",""นครศรีธรรมราช!I224"")"),0)</f>
        <v>0</v>
      </c>
      <c r="J324" s="210">
        <f ca="1">IFERROR(__xludf.DUMMYFUNCTION("IMPORTRANGE(""https://docs.google.com/spreadsheets/d/1IYY_tgx_IHuhSq3AJ5eI5OnqOPBNLWSHKh2a30DoXe8/edit?usp=sharing"",""นครศรีธรรมราช!J224"")"),0)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IFERROR(__xludf.DUMMYFUNCTION("IMPORTRANGE(""https://docs.google.com/spreadsheets/d/1IYY_tgx_IHuhSq3AJ5eI5OnqOPBNLWSHKh2a30DoXe8/edit?usp=sharing"",""นครศรีธรรมราช!J225"")"),0)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IFERROR(__xludf.DUMMYFUNCTION("IMPORTRANGE(""https://docs.google.com/spreadsheets/d/1IYY_tgx_IHuhSq3AJ5eI5OnqOPBNLWSHKh2a30DoXe8/edit?usp=sharing"",""นครศรีธรรมราช!J226"")"),0)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IFERROR(__xludf.DUMMYFUNCTION("IMPORTRANGE(""https://docs.google.com/spreadsheets/d/1IYY_tgx_IHuhSq3AJ5eI5OnqOPBNLWSHKh2a30DoXe8/edit?usp=sharing"",""นครศรีธรรมราช!I228"")"),310)</f>
        <v>310</v>
      </c>
      <c r="J328" s="345">
        <f ca="1">IFERROR(__xludf.DUMMYFUNCTION("IMPORTRANGE(""https://docs.google.com/spreadsheets/d/1IYY_tgx_IHuhSq3AJ5eI5OnqOPBNLWSHKh2a30DoXe8/edit?usp=sharing"",""นครศรีธรรมราช!J228"")"),114)</f>
        <v>114</v>
      </c>
      <c r="K328" s="323">
        <f ca="1">IF(I328&gt;0,J328*100/I328,0)</f>
        <v>36.774193548387096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680840</v>
      </c>
      <c r="M329" s="156">
        <f t="shared" ca="1" si="98"/>
        <v>660580</v>
      </c>
      <c r="N329" s="156">
        <f t="shared" ca="1" si="98"/>
        <v>434663.18</v>
      </c>
      <c r="O329" s="155">
        <f t="shared" ref="O329:O331" ca="1" si="99">IF(L329&gt;0,N329*100/L329,0)</f>
        <v>63.842191998119972</v>
      </c>
      <c r="P329" s="155">
        <f t="shared" ref="P329:P331" ca="1" si="100">IF(M329&gt;0,N329*100/M329,0)</f>
        <v>65.800233128462864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680840</v>
      </c>
      <c r="M331" s="161">
        <f t="shared" ca="1" si="102"/>
        <v>660580</v>
      </c>
      <c r="N331" s="161">
        <f t="shared" ca="1" si="102"/>
        <v>434663.18</v>
      </c>
      <c r="O331" s="160">
        <f t="shared" ca="1" si="99"/>
        <v>63.842191998119972</v>
      </c>
      <c r="P331" s="160">
        <f t="shared" ca="1" si="100"/>
        <v>65.800233128462864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667340</v>
      </c>
      <c r="M333" s="173">
        <f ca="1">IFERROR(__xludf.DUMMYFUNCTION("IMPORTRANGE(""https://docs.google.com/spreadsheets/d/1Yj_ptqi66GCucihVvJfMjLAmec39IyEx_6qawtMGysU/edit?usp=sharing"",""สบก!DL84"")"),647080)</f>
        <v>647080</v>
      </c>
      <c r="N333" s="174">
        <f ca="1">IFERROR(__xludf.DUMMYFUNCTION("IMPORTRANGE(""https://docs.google.com/spreadsheets/d/1Yj_ptqi66GCucihVvJfMjLAmec39IyEx_6qawtMGysU/edit?usp=sharing"",""สบก!DM84"")"),421163.18)</f>
        <v>421163.18</v>
      </c>
      <c r="O333" s="175">
        <f ca="1">IF(L333&gt;0,N333*100/L333,0)</f>
        <v>63.110735157490936</v>
      </c>
      <c r="P333" s="175">
        <f ca="1">IF(M333&gt;0,N333*100/M333,0)</f>
        <v>65.086724979909746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IFERROR(__xludf.DUMMYFUNCTION("IMPORTRANGE(""https://docs.google.com/spreadsheets/d/1Yj_ptqi66GCucihVvJfMjLAmec39IyEx_6qawtMGysU/edit?usp=sharing"",""สบก!DH84"")"),194400)</f>
        <v>194400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IFERROR(__xludf.DUMMYFUNCTION("IMPORTRANGE(""https://docs.google.com/spreadsheets/d/1Yj_ptqi66GCucihVvJfMjLAmec39IyEx_6qawtMGysU/edit?usp=sharing"",""สบก!DI84"")"),472940)</f>
        <v>472940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IFERROR(__xludf.DUMMYFUNCTION("IMPORTRANGE(""https://docs.google.com/spreadsheets/d/1Yj_ptqi66GCucihVvJfMjLAmec39IyEx_6qawtMGysU/edit?usp=sharing"",""สบก!DJ84"")"),13500)</f>
        <v>13500</v>
      </c>
      <c r="M337" s="101">
        <f ca="1">L337</f>
        <v>13500</v>
      </c>
      <c r="N337" s="91">
        <f ca="1">IFERROR(__xludf.DUMMYFUNCTION("IMPORTRANGE(""https://docs.google.com/spreadsheets/d/1Yj_ptqi66GCucihVvJfMjLAmec39IyEx_6qawtMGysU/edit?usp=sharing"",""สบก!DN84"")"),13500)</f>
        <v>13500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IFERROR(__xludf.DUMMYFUNCTION("IMPORTRANGE(""https://docs.google.com/spreadsheets/d/1IYY_tgx_IHuhSq3AJ5eI5OnqOPBNLWSHKh2a30DoXe8/edit?usp=sharing"",""นครศรีธรรมราช!I234"")"),0)</f>
        <v>0</v>
      </c>
      <c r="J339" s="194">
        <f ca="1">IFERROR(__xludf.DUMMYFUNCTION("IMPORTRANGE(""https://docs.google.com/spreadsheets/d/1IYY_tgx_IHuhSq3AJ5eI5OnqOPBNLWSHKh2a30DoXe8/edit?usp=sharing"",""นครศรีธรรมราช!J234"")"),169)</f>
        <v>169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IFERROR(__xludf.DUMMYFUNCTION("IMPORTRANGE(""https://docs.google.com/spreadsheets/d/1IYY_tgx_IHuhSq3AJ5eI5OnqOPBNLWSHKh2a30DoXe8/edit?usp=sharing"",""นครศรีธรรมราช!I235"")"),2720)</f>
        <v>2720</v>
      </c>
      <c r="J340" s="194">
        <f ca="1">IFERROR(__xludf.DUMMYFUNCTION("IMPORTRANGE(""https://docs.google.com/spreadsheets/d/1IYY_tgx_IHuhSq3AJ5eI5OnqOPBNLWSHKh2a30DoXe8/edit?usp=sharing"",""นครศรีธรรมราช!J235"")"),1296.03)</f>
        <v>1296.03</v>
      </c>
      <c r="K340" s="348">
        <f t="shared" ca="1" si="103"/>
        <v>47.648161764705883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IFERROR(__xludf.DUMMYFUNCTION("IMPORTRANGE(""https://docs.google.com/spreadsheets/d/1IYY_tgx_IHuhSq3AJ5eI5OnqOPBNLWSHKh2a30DoXe8/edit?usp=sharing"",""นครศรีธรรมราช!I236"")"),310)</f>
        <v>310</v>
      </c>
      <c r="J341" s="194">
        <f ca="1">IFERROR(__xludf.DUMMYFUNCTION("IMPORTRANGE(""https://docs.google.com/spreadsheets/d/1IYY_tgx_IHuhSq3AJ5eI5OnqOPBNLWSHKh2a30DoXe8/edit?usp=sharing"",""นครศรีธรรมราช!J236"")"),296)</f>
        <v>296</v>
      </c>
      <c r="K341" s="348">
        <f t="shared" ca="1" si="103"/>
        <v>95.483870967741936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IFERROR(__xludf.DUMMYFUNCTION("IMPORTRANGE(""https://docs.google.com/spreadsheets/d/1IYY_tgx_IHuhSq3AJ5eI5OnqOPBNLWSHKh2a30DoXe8/edit?usp=sharing"",""นครศรีธรรมราช!I237"")"),0)</f>
        <v>0</v>
      </c>
      <c r="J342" s="194">
        <f ca="1">IFERROR(__xludf.DUMMYFUNCTION("IMPORTRANGE(""https://docs.google.com/spreadsheets/d/1IYY_tgx_IHuhSq3AJ5eI5OnqOPBNLWSHKh2a30DoXe8/edit?usp=sharing"",""นครศรีธรรมราช!J237"")"),2561.38)</f>
        <v>2561.38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IFERROR(__xludf.DUMMYFUNCTION("IMPORTRANGE(""https://docs.google.com/spreadsheets/d/1IYY_tgx_IHuhSq3AJ5eI5OnqOPBNLWSHKh2a30DoXe8/edit?usp=sharing"",""นครศรีธรรมราช!I238"")"),310)</f>
        <v>310</v>
      </c>
      <c r="J343" s="194">
        <f ca="1">IFERROR(__xludf.DUMMYFUNCTION("IMPORTRANGE(""https://docs.google.com/spreadsheets/d/1IYY_tgx_IHuhSq3AJ5eI5OnqOPBNLWSHKh2a30DoXe8/edit?usp=sharing"",""นครศรีธรรมราช!J238"")"),0)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IFERROR(__xludf.DUMMYFUNCTION("IMPORTRANGE(""https://docs.google.com/spreadsheets/d/1IYY_tgx_IHuhSq3AJ5eI5OnqOPBNLWSHKh2a30DoXe8/edit?usp=sharing"",""นครศรีธรรมราช!I239"")"),0)</f>
        <v>0</v>
      </c>
      <c r="J344" s="194">
        <f ca="1">IFERROR(__xludf.DUMMYFUNCTION("IMPORTRANGE(""https://docs.google.com/spreadsheets/d/1IYY_tgx_IHuhSq3AJ5eI5OnqOPBNLWSHKh2a30DoXe8/edit?usp=sharing"",""นครศรีธรรมราช!J239"")"),0)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IFERROR(__xludf.DUMMYFUNCTION("IMPORTRANGE(""https://docs.google.com/spreadsheets/d/1IYY_tgx_IHuhSq3AJ5eI5OnqOPBNLWSHKh2a30DoXe8/edit?usp=sharing"",""นครศรีธรรมราช!I240"")"),310)</f>
        <v>310</v>
      </c>
      <c r="J345" s="194">
        <f ca="1">IFERROR(__xludf.DUMMYFUNCTION("IMPORTRANGE(""https://docs.google.com/spreadsheets/d/1IYY_tgx_IHuhSq3AJ5eI5OnqOPBNLWSHKh2a30DoXe8/edit?usp=sharing"",""นครศรีธรรมราช!J240"")"),114)</f>
        <v>114</v>
      </c>
      <c r="K345" s="348">
        <f t="shared" ca="1" si="103"/>
        <v>36.774193548387096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IFERROR(__xludf.DUMMYFUNCTION("IMPORTRANGE(""https://docs.google.com/spreadsheets/d/1IYY_tgx_IHuhSq3AJ5eI5OnqOPBNLWSHKh2a30DoXe8/edit?usp=sharing"",""นครศรีธรรมราช!I241"")"),0)</f>
        <v>0</v>
      </c>
      <c r="J346" s="194">
        <f ca="1">IFERROR(__xludf.DUMMYFUNCTION("IMPORTRANGE(""https://docs.google.com/spreadsheets/d/1IYY_tgx_IHuhSq3AJ5eI5OnqOPBNLWSHKh2a30DoXe8/edit?usp=sharing"",""นครศรีธรรมราช!J241"")"),1150.52)</f>
        <v>1150.52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IFERROR(__xludf.DUMMYFUNCTION("IMPORTRANGE(""https://docs.google.com/spreadsheets/d/1IYY_tgx_IHuhSq3AJ5eI5OnqOPBNLWSHKh2a30DoXe8/edit?usp=sharing"",""นครศรีธรรมราช!L242"")"),1197430.8)</f>
        <v>1197430.8</v>
      </c>
      <c r="M347" s="364"/>
      <c r="N347" s="364">
        <f ca="1">IFERROR(__xludf.DUMMYFUNCTION("IMPORTRANGE(""https://docs.google.com/spreadsheets/d/1IYY_tgx_IHuhSq3AJ5eI5OnqOPBNLWSHKh2a30DoXe8/edit?usp=sharing"",""นครศรีธรรมราช!M242"")"),327750.7)</f>
        <v>327750.7</v>
      </c>
      <c r="O347" s="364">
        <f ca="1">+IF(L347&gt;0,N347*100/L347,0)</f>
        <v>27.371159986865212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IFERROR(__xludf.DUMMYFUNCTION("IMPORTRANGE(""https://docs.google.com/spreadsheets/d/1IYY_tgx_IHuhSq3AJ5eI5OnqOPBNLWSHKh2a30DoXe8/edit?usp=sharing"",""นครศรีธรรมราช!I244"")"),0)</f>
        <v>0</v>
      </c>
      <c r="J349" s="377">
        <f ca="1">IFERROR(__xludf.DUMMYFUNCTION("IMPORTRANGE(""https://docs.google.com/spreadsheets/d/1IYY_tgx_IHuhSq3AJ5eI5OnqOPBNLWSHKh2a30DoXe8/edit?usp=sharing"",""นครศรีธรรมราช!J244"")"),0)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IFERROR(__xludf.DUMMYFUNCTION("IMPORTRANGE(""https://docs.google.com/spreadsheets/d/1IYY_tgx_IHuhSq3AJ5eI5OnqOPBNLWSHKh2a30DoXe8/edit?usp=sharing"",""นครศรีธรรมราช!L244"")"),0)</f>
        <v>0</v>
      </c>
      <c r="M349" s="379"/>
      <c r="N349" s="379">
        <f ca="1">IFERROR(__xludf.DUMMYFUNCTION("IMPORTRANGE(""https://docs.google.com/spreadsheets/d/1IYY_tgx_IHuhSq3AJ5eI5OnqOPBNLWSHKh2a30DoXe8/edit?usp=sharing"",""นครศรีธรรมราช!M244"")"),0)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IFERROR(__xludf.DUMMYFUNCTION("IMPORTRANGE(""https://docs.google.com/spreadsheets/d/1IYY_tgx_IHuhSq3AJ5eI5OnqOPBNLWSHKh2a30DoXe8/edit?usp=sharing"",""นครศรีธรรมราช!I245"")"),0)</f>
        <v>0</v>
      </c>
      <c r="J350" s="377">
        <f ca="1">IFERROR(__xludf.DUMMYFUNCTION("IMPORTRANGE(""https://docs.google.com/spreadsheets/d/1IYY_tgx_IHuhSq3AJ5eI5OnqOPBNLWSHKh2a30DoXe8/edit?usp=sharing"",""นครศรีธรรมราช!J245"")"),0)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IFERROR(__xludf.DUMMYFUNCTION("IMPORTRANGE(""https://docs.google.com/spreadsheets/d/1IYY_tgx_IHuhSq3AJ5eI5OnqOPBNLWSHKh2a30DoXe8/edit?usp=sharing"",""นครศรีธรรมราช!L246"")"),0)</f>
        <v>0</v>
      </c>
      <c r="M351" s="168"/>
      <c r="N351" s="168">
        <f ca="1">IFERROR(__xludf.DUMMYFUNCTION("IMPORTRANGE(""https://docs.google.com/spreadsheets/d/1IYY_tgx_IHuhSq3AJ5eI5OnqOPBNLWSHKh2a30DoXe8/edit?usp=sharing"",""นครศรีธรรมราช!M246"")"),0)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IFERROR(__xludf.DUMMYFUNCTION("IMPORTRANGE(""https://docs.google.com/spreadsheets/d/1IYY_tgx_IHuhSq3AJ5eI5OnqOPBNLWSHKh2a30DoXe8/edit?usp=sharing"",""นครศรีธรรมราช!L247"")"),0)</f>
        <v>0</v>
      </c>
      <c r="M352" s="169"/>
      <c r="N352" s="168">
        <f ca="1">IFERROR(__xludf.DUMMYFUNCTION("IMPORTRANGE(""https://docs.google.com/spreadsheets/d/1IYY_tgx_IHuhSq3AJ5eI5OnqOPBNLWSHKh2a30DoXe8/edit?usp=sharing"",""นครศรีธรรมราช!M247"")"),0)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IFERROR(__xludf.DUMMYFUNCTION("IMPORTRANGE(""https://docs.google.com/spreadsheets/d/1IYY_tgx_IHuhSq3AJ5eI5OnqOPBNLWSHKh2a30DoXe8/edit?usp=sharing"",""นครศรีธรรมราช!L248"")"),0)</f>
        <v>0</v>
      </c>
      <c r="M353" s="175"/>
      <c r="N353" s="175">
        <f ca="1">IFERROR(__xludf.DUMMYFUNCTION("IMPORTRANGE(""https://docs.google.com/spreadsheets/d/1IYY_tgx_IHuhSq3AJ5eI5OnqOPBNLWSHKh2a30DoXe8/edit?usp=sharing"",""นครศรีธรรมราช!M248"")"),0)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IFERROR(__xludf.DUMMYFUNCTION("IMPORTRANGE(""https://docs.google.com/spreadsheets/d/1IYY_tgx_IHuhSq3AJ5eI5OnqOPBNLWSHKh2a30DoXe8/edit?usp=sharing"",""นครศรีธรรมราช!L249"")"),0)</f>
        <v>0</v>
      </c>
      <c r="M354" s="175"/>
      <c r="N354" s="172">
        <f ca="1">IFERROR(__xludf.DUMMYFUNCTION("IMPORTRANGE(""https://docs.google.com/spreadsheets/d/1IYY_tgx_IHuhSq3AJ5eI5OnqOPBNLWSHKh2a30DoXe8/edit?usp=sharing"",""นครศรีธรรมราช!M249"")"),0)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IFERROR(__xludf.DUMMYFUNCTION("IMPORTRANGE(""https://docs.google.com/spreadsheets/d/1IYY_tgx_IHuhSq3AJ5eI5OnqOPBNLWSHKh2a30DoXe8/edit?usp=sharing"",""นครศรีธรรมราช!M250"")"),0)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IFERROR(__xludf.DUMMYFUNCTION("IMPORTRANGE(""https://docs.google.com/spreadsheets/d/1IYY_tgx_IHuhSq3AJ5eI5OnqOPBNLWSHKh2a30DoXe8/edit?usp=sharing"",""นครศรีธรรมราช!M251"")"),0)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IFERROR(__xludf.DUMMYFUNCTION("IMPORTRANGE(""https://docs.google.com/spreadsheets/d/1IYY_tgx_IHuhSq3AJ5eI5OnqOPBNLWSHKh2a30DoXe8/edit?usp=sharing"",""นครศรีธรรมราช!M252"")"),0)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IFERROR(__xludf.DUMMYFUNCTION("IMPORTRANGE(""https://docs.google.com/spreadsheets/d/1IYY_tgx_IHuhSq3AJ5eI5OnqOPBNLWSHKh2a30DoXe8/edit?usp=sharing"",""นครศรีธรรมราช!M253"")"),0)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IFERROR(__xludf.DUMMYFUNCTION("IMPORTRANGE(""https://docs.google.com/spreadsheets/d/1IYY_tgx_IHuhSq3AJ5eI5OnqOPBNLWSHKh2a30DoXe8/edit?usp=sharing"",""นครศรีธรรมราช!J255"")"),0)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IFERROR(__xludf.DUMMYFUNCTION("IMPORTRANGE(""https://docs.google.com/spreadsheets/d/1IYY_tgx_IHuhSq3AJ5eI5OnqOPBNLWSHKh2a30DoXe8/edit?usp=sharing"",""นครศรีธรรมราช!J256"")"),0)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IFERROR(__xludf.DUMMYFUNCTION("IMPORTRANGE(""https://docs.google.com/spreadsheets/d/1IYY_tgx_IHuhSq3AJ5eI5OnqOPBNLWSHKh2a30DoXe8/edit?usp=sharing"",""นครศรีธรรมราช!J257"")"),0)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IFERROR(__xludf.DUMMYFUNCTION("IMPORTRANGE(""https://docs.google.com/spreadsheets/d/1IYY_tgx_IHuhSq3AJ5eI5OnqOPBNLWSHKh2a30DoXe8/edit?usp=sharing"",""นครศรีธรรมราช!J258"")"),0)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IFERROR(__xludf.DUMMYFUNCTION("IMPORTRANGE(""https://docs.google.com/spreadsheets/d/1IYY_tgx_IHuhSq3AJ5eI5OnqOPBNLWSHKh2a30DoXe8/edit?usp=sharing"",""นครศรีธรรมราช!J166"")"),0)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IFERROR(__xludf.DUMMYFUNCTION("IMPORTRANGE(""https://docs.google.com/spreadsheets/d/1IYY_tgx_IHuhSq3AJ5eI5OnqOPBNLWSHKh2a30DoXe8/edit?usp=sharing"",""นครศรีธรรมราช!J166"")"),0)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IFERROR(__xludf.DUMMYFUNCTION("IMPORTRANGE(""https://docs.google.com/spreadsheets/d/1IYY_tgx_IHuhSq3AJ5eI5OnqOPBNLWSHKh2a30DoXe8/edit?usp=sharing"",""นครศรีธรรมราช!J166"")"),0)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IFERROR(__xludf.DUMMYFUNCTION("IMPORTRANGE(""https://docs.google.com/spreadsheets/d/1IYY_tgx_IHuhSq3AJ5eI5OnqOPBNLWSHKh2a30DoXe8/edit?usp=sharing"",""นครศรีธรรมราช!J166"")"),0)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IFERROR(__xludf.DUMMYFUNCTION("IMPORTRANGE(""https://docs.google.com/spreadsheets/d/1IYY_tgx_IHuhSq3AJ5eI5OnqOPBNLWSHKh2a30DoXe8/edit?usp=sharing"",""นครศรีธรรมราช!I263"")"),0)</f>
        <v>0</v>
      </c>
      <c r="J368" s="194">
        <f ca="1">IFERROR(__xludf.DUMMYFUNCTION("IMPORTRANGE(""https://docs.google.com/spreadsheets/d/1IYY_tgx_IHuhSq3AJ5eI5OnqOPBNLWSHKh2a30DoXe8/edit?usp=sharing"",""นครศรีธรรมราช!J263"")"),0)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IFERROR(__xludf.DUMMYFUNCTION("IMPORTRANGE(""https://docs.google.com/spreadsheets/d/1IYY_tgx_IHuhSq3AJ5eI5OnqOPBNLWSHKh2a30DoXe8/edit?usp=sharing"",""นครศรีธรรมราช!I164"")"),0)</f>
        <v>0</v>
      </c>
      <c r="J369" s="210">
        <f ca="1">IFERROR(__xludf.DUMMYFUNCTION("IMPORTRANGE(""https://docs.google.com/spreadsheets/d/1IYY_tgx_IHuhSq3AJ5eI5OnqOPBNLWSHKh2a30DoXe8/edit?usp=sharing"",""นครศรีธรรมราช!J164"")"),0)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IFERROR(__xludf.DUMMYFUNCTION("IMPORTRANGE(""https://docs.google.com/spreadsheets/d/1IYY_tgx_IHuhSq3AJ5eI5OnqOPBNLWSHKh2a30DoXe8/edit?usp=sharing"",""นครศรีธรรมราช!I265"")"),0)</f>
        <v>0</v>
      </c>
      <c r="J370" s="210">
        <f ca="1">IFERROR(__xludf.DUMMYFUNCTION("IMPORTRANGE(""https://docs.google.com/spreadsheets/d/1IYY_tgx_IHuhSq3AJ5eI5OnqOPBNLWSHKh2a30DoXe8/edit?usp=sharing"",""นครศรีธรรมราช!J265"")"),0)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IFERROR(__xludf.DUMMYFUNCTION("IMPORTRANGE(""https://docs.google.com/spreadsheets/d/1IYY_tgx_IHuhSq3AJ5eI5OnqOPBNLWSHKh2a30DoXe8/edit?usp=sharing"",""นครศรีธรรมราช!I164"")"),0)</f>
        <v>0</v>
      </c>
      <c r="J371" s="195">
        <f ca="1">IFERROR(__xludf.DUMMYFUNCTION("IMPORTRANGE(""https://docs.google.com/spreadsheets/d/1IYY_tgx_IHuhSq3AJ5eI5OnqOPBNLWSHKh2a30DoXe8/edit?usp=sharing"",""นครศรีธรรมราช!J164"")"),0)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IFERROR(__xludf.DUMMYFUNCTION("IMPORTRANGE(""https://docs.google.com/spreadsheets/d/1IYY_tgx_IHuhSq3AJ5eI5OnqOPBNLWSHKh2a30DoXe8/edit?usp=sharing"",""นครศรีธรรมราช!I267"")"),0)</f>
        <v>0</v>
      </c>
      <c r="J372" s="195">
        <f ca="1">IFERROR(__xludf.DUMMYFUNCTION("IMPORTRANGE(""https://docs.google.com/spreadsheets/d/1IYY_tgx_IHuhSq3AJ5eI5OnqOPBNLWSHKh2a30DoXe8/edit?usp=sharing"",""นครศรีธรรมราช!J267"")"),0)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IFERROR(__xludf.DUMMYFUNCTION("IMPORTRANGE(""https://docs.google.com/spreadsheets/d/1IYY_tgx_IHuhSq3AJ5eI5OnqOPBNLWSHKh2a30DoXe8/edit?usp=sharing"",""นครศรีธรรมราช!I164"")"),0)</f>
        <v>0</v>
      </c>
      <c r="J373" s="210">
        <f ca="1">IFERROR(__xludf.DUMMYFUNCTION("IMPORTRANGE(""https://docs.google.com/spreadsheets/d/1IYY_tgx_IHuhSq3AJ5eI5OnqOPBNLWSHKh2a30DoXe8/edit?usp=sharing"",""นครศรีธรรมราช!J164"")"),0)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IFERROR(__xludf.DUMMYFUNCTION("IMPORTRANGE(""https://docs.google.com/spreadsheets/d/1IYY_tgx_IHuhSq3AJ5eI5OnqOPBNLWSHKh2a30DoXe8/edit?usp=sharing"",""นครศรีธรรมราช!I164"")"),0)</f>
        <v>0</v>
      </c>
      <c r="J374" s="194">
        <f ca="1">IFERROR(__xludf.DUMMYFUNCTION("IMPORTRANGE(""https://docs.google.com/spreadsheets/d/1IYY_tgx_IHuhSq3AJ5eI5OnqOPBNLWSHKh2a30DoXe8/edit?usp=sharing"",""นครศรีธรรมราช!J164"")"),0)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IFERROR(__xludf.DUMMYFUNCTION("IMPORTRANGE(""https://docs.google.com/spreadsheets/d/1IYY_tgx_IHuhSq3AJ5eI5OnqOPBNLWSHKh2a30DoXe8/edit?usp=sharing"",""นครศรีธรรมราช!I270"")"),0)</f>
        <v>0</v>
      </c>
      <c r="J375" s="194">
        <f ca="1">IFERROR(__xludf.DUMMYFUNCTION("IMPORTRANGE(""https://docs.google.com/spreadsheets/d/1IYY_tgx_IHuhSq3AJ5eI5OnqOPBNLWSHKh2a30DoXe8/edit?usp=sharing"",""นครศรีธรรมราช!J270"")"),0)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IFERROR(__xludf.DUMMYFUNCTION("IMPORTRANGE(""https://docs.google.com/spreadsheets/d/1IYY_tgx_IHuhSq3AJ5eI5OnqOPBNLWSHKh2a30DoXe8/edit?usp=sharing"",""นครศรีธรรมราช!I271"")"),0)</f>
        <v>0</v>
      </c>
      <c r="J376" s="195">
        <f ca="1">IFERROR(__xludf.DUMMYFUNCTION("IMPORTRANGE(""https://docs.google.com/spreadsheets/d/1IYY_tgx_IHuhSq3AJ5eI5OnqOPBNLWSHKh2a30DoXe8/edit?usp=sharing"",""นครศรีธรรมราช!J271"")"),0)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IFERROR(__xludf.DUMMYFUNCTION("IMPORTRANGE(""https://docs.google.com/spreadsheets/d/1IYY_tgx_IHuhSq3AJ5eI5OnqOPBNLWSHKh2a30DoXe8/edit?usp=sharing"",""นครศรีธรรมราช!I272"")"),0)</f>
        <v>0</v>
      </c>
      <c r="J377" s="210">
        <f ca="1">IFERROR(__xludf.DUMMYFUNCTION("IMPORTRANGE(""https://docs.google.com/spreadsheets/d/1IYY_tgx_IHuhSq3AJ5eI5OnqOPBNLWSHKh2a30DoXe8/edit?usp=sharing"",""นครศรีธรรมราช!J272"")"),0)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IFERROR(__xludf.DUMMYFUNCTION("IMPORTRANGE(""https://docs.google.com/spreadsheets/d/1IYY_tgx_IHuhSq3AJ5eI5OnqOPBNLWSHKh2a30DoXe8/edit?usp=sharing"",""นครศรีธรรมราช!J273"")"),0)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IFERROR(__xludf.DUMMYFUNCTION("IMPORTRANGE(""https://docs.google.com/spreadsheets/d/1IYY_tgx_IHuhSq3AJ5eI5OnqOPBNLWSHKh2a30DoXe8/edit?usp=sharing"",""นครศรีธรรมราช!J274"")"),0)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IFERROR(__xludf.DUMMYFUNCTION("IMPORTRANGE(""https://docs.google.com/spreadsheets/d/1IYY_tgx_IHuhSq3AJ5eI5OnqOPBNLWSHKh2a30DoXe8/edit?usp=sharing"",""นครศรีธรรมราช!I275"")"),200)</f>
        <v>200</v>
      </c>
      <c r="J380" s="377">
        <f ca="1">IFERROR(__xludf.DUMMYFUNCTION("IMPORTRANGE(""https://docs.google.com/spreadsheets/d/1IYY_tgx_IHuhSq3AJ5eI5OnqOPBNLWSHKh2a30DoXe8/edit?usp=sharing"",""นครศรีธรรมราช!J275"")"),0)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IFERROR(__xludf.DUMMYFUNCTION("IMPORTRANGE(""https://docs.google.com/spreadsheets/d/1IYY_tgx_IHuhSq3AJ5eI5OnqOPBNLWSHKh2a30DoXe8/edit?usp=sharing"",""นครศรีธรรมราช!L275"")"),207560)</f>
        <v>207560</v>
      </c>
      <c r="M380" s="379"/>
      <c r="N380" s="379">
        <f ca="1">IFERROR(__xludf.DUMMYFUNCTION("IMPORTRANGE(""https://docs.google.com/spreadsheets/d/1IYY_tgx_IHuhSq3AJ5eI5OnqOPBNLWSHKh2a30DoXe8/edit?usp=sharing"",""นครศรีธรรมราช!M275"")"),28251)</f>
        <v>28251</v>
      </c>
      <c r="O380" s="379">
        <f ca="1">+IF(L380&gt;0,N380*100/L380,0)</f>
        <v>13.611004047022547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IFERROR(__xludf.DUMMYFUNCTION("IMPORTRANGE(""https://docs.google.com/spreadsheets/d/1IYY_tgx_IHuhSq3AJ5eI5OnqOPBNLWSHKh2a30DoXe8/edit?usp=sharing"",""นครศรีธรรมราช!I276"")"),20)</f>
        <v>20</v>
      </c>
      <c r="J381" s="377">
        <f ca="1">IFERROR(__xludf.DUMMYFUNCTION("IMPORTRANGE(""https://docs.google.com/spreadsheets/d/1IYY_tgx_IHuhSq3AJ5eI5OnqOPBNLWSHKh2a30DoXe8/edit?usp=sharing"",""นครศรีธรรมราช!J276"")"),20)</f>
        <v>20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IFERROR(__xludf.DUMMYFUNCTION("IMPORTRANGE(""https://docs.google.com/spreadsheets/d/1IYY_tgx_IHuhSq3AJ5eI5OnqOPBNLWSHKh2a30DoXe8/edit?usp=sharing"",""นครศรีธรรมราช!L277"")"),0)</f>
        <v>0</v>
      </c>
      <c r="M382" s="168"/>
      <c r="N382" s="168">
        <f ca="1">IFERROR(__xludf.DUMMYFUNCTION("IMPORTRANGE(""https://docs.google.com/spreadsheets/d/1IYY_tgx_IHuhSq3AJ5eI5OnqOPBNLWSHKh2a30DoXe8/edit?usp=sharing"",""นครศรีธรรมราช!M277"")"),0)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IFERROR(__xludf.DUMMYFUNCTION("IMPORTRANGE(""https://docs.google.com/spreadsheets/d/1IYY_tgx_IHuhSq3AJ5eI5OnqOPBNLWSHKh2a30DoXe8/edit?usp=sharing"",""นครศรีธรรมราช!L278"")"),207560)</f>
        <v>207560</v>
      </c>
      <c r="M383" s="169"/>
      <c r="N383" s="169">
        <f ca="1">IFERROR(__xludf.DUMMYFUNCTION("IMPORTRANGE(""https://docs.google.com/spreadsheets/d/1IYY_tgx_IHuhSq3AJ5eI5OnqOPBNLWSHKh2a30DoXe8/edit?usp=sharing"",""นครศรีธรรมราช!M278"")"),28251)</f>
        <v>28251</v>
      </c>
      <c r="O383" s="169">
        <f t="shared" ca="1" si="109"/>
        <v>13.611004047022547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IFERROR(__xludf.DUMMYFUNCTION("IMPORTRANGE(""https://docs.google.com/spreadsheets/d/1IYY_tgx_IHuhSq3AJ5eI5OnqOPBNLWSHKh2a30DoXe8/edit?usp=sharing"",""นครศรีธรรมราช!L279"")"),0)</f>
        <v>0</v>
      </c>
      <c r="M384" s="175"/>
      <c r="N384" s="175">
        <f ca="1">IFERROR(__xludf.DUMMYFUNCTION("IMPORTRANGE(""https://docs.google.com/spreadsheets/d/1IYY_tgx_IHuhSq3AJ5eI5OnqOPBNLWSHKh2a30DoXe8/edit?usp=sharing"",""นครศรีธรรมราช!M279"")"),0)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IFERROR(__xludf.DUMMYFUNCTION("IMPORTRANGE(""https://docs.google.com/spreadsheets/d/1IYY_tgx_IHuhSq3AJ5eI5OnqOPBNLWSHKh2a30DoXe8/edit?usp=sharing"",""นครศรีธรรมราช!L280"")"),207560)</f>
        <v>207560</v>
      </c>
      <c r="M385" s="175"/>
      <c r="N385" s="172">
        <f ca="1">IFERROR(__xludf.DUMMYFUNCTION("IMPORTRANGE(""https://docs.google.com/spreadsheets/d/1IYY_tgx_IHuhSq3AJ5eI5OnqOPBNLWSHKh2a30DoXe8/edit?usp=sharing"",""นครศรีธรรมราช!M280"")"),28251)</f>
        <v>28251</v>
      </c>
      <c r="O385" s="175">
        <f t="shared" ca="1" si="109"/>
        <v>13.611004047022547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IFERROR(__xludf.DUMMYFUNCTION("IMPORTRANGE(""https://docs.google.com/spreadsheets/d/1IYY_tgx_IHuhSq3AJ5eI5OnqOPBNLWSHKh2a30DoXe8/edit?usp=sharing"",""นครศรีธรรมราช!M281"")"),23036)</f>
        <v>23036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IFERROR(__xludf.DUMMYFUNCTION("IMPORTRANGE(""https://docs.google.com/spreadsheets/d/1IYY_tgx_IHuhSq3AJ5eI5OnqOPBNLWSHKh2a30DoXe8/edit?usp=sharing"",""นครศรีธรรมราช!M282"")"),0)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IFERROR(__xludf.DUMMYFUNCTION("IMPORTRANGE(""https://docs.google.com/spreadsheets/d/1IYY_tgx_IHuhSq3AJ5eI5OnqOPBNLWSHKh2a30DoXe8/edit?usp=sharing"",""นครศรีธรรมราช!M283"")"),0)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IFERROR(__xludf.DUMMYFUNCTION("IMPORTRANGE(""https://docs.google.com/spreadsheets/d/1IYY_tgx_IHuhSq3AJ5eI5OnqOPBNLWSHKh2a30DoXe8/edit?usp=sharing"",""นครศรีธรรมราช!M284"")"),5215)</f>
        <v>5215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IFERROR(__xludf.DUMMYFUNCTION("IMPORTRANGE(""https://docs.google.com/spreadsheets/d/1IYY_tgx_IHuhSq3AJ5eI5OnqOPBNLWSHKh2a30DoXe8/edit?usp=sharing"",""นครศรีธรรมราช!J286"")"),0)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IFERROR(__xludf.DUMMYFUNCTION("IMPORTRANGE(""https://docs.google.com/spreadsheets/d/1IYY_tgx_IHuhSq3AJ5eI5OnqOPBNLWSHKh2a30DoXe8/edit?usp=sharing"",""นครศรีธรรมราช!J287"")"),1)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IFERROR(__xludf.DUMMYFUNCTION("IMPORTRANGE(""https://docs.google.com/spreadsheets/d/1IYY_tgx_IHuhSq3AJ5eI5OnqOPBNLWSHKh2a30DoXe8/edit?usp=sharing"",""นครศรีธรรมราช!J288"")"),1)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IFERROR(__xludf.DUMMYFUNCTION("IMPORTRANGE(""https://docs.google.com/spreadsheets/d/1IYY_tgx_IHuhSq3AJ5eI5OnqOPBNLWSHKh2a30DoXe8/edit?usp=sharing"",""นครศรีธรรมราช!J289"")"),1)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IFERROR(__xludf.DUMMYFUNCTION("IMPORTRANGE(""https://docs.google.com/spreadsheets/d/1IYY_tgx_IHuhSq3AJ5eI5OnqOPBNLWSHKh2a30DoXe8/edit?usp=sharing"",""นครศรีธรรมราช!I291"")"),20)</f>
        <v>20</v>
      </c>
      <c r="J396" s="204">
        <f ca="1">IFERROR(__xludf.DUMMYFUNCTION("IMPORTRANGE(""https://docs.google.com/spreadsheets/d/1IYY_tgx_IHuhSq3AJ5eI5OnqOPBNLWSHKh2a30DoXe8/edit?usp=sharing"",""นครศรีธรรมราช!J291"")"),20)</f>
        <v>20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IFERROR(__xludf.DUMMYFUNCTION("IMPORTRANGE(""https://docs.google.com/spreadsheets/d/1IYY_tgx_IHuhSq3AJ5eI5OnqOPBNLWSHKh2a30DoXe8/edit?usp=sharing"",""นครศรีธรรมราช!I292"")"),200)</f>
        <v>200</v>
      </c>
      <c r="J397" s="204">
        <f ca="1">IFERROR(__xludf.DUMMYFUNCTION("IMPORTRANGE(""https://docs.google.com/spreadsheets/d/1IYY_tgx_IHuhSq3AJ5eI5OnqOPBNLWSHKh2a30DoXe8/edit?usp=sharing"",""นครศรีธรรมราช!J292"")"),0)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IFERROR(__xludf.DUMMYFUNCTION("IMPORTRANGE(""https://docs.google.com/spreadsheets/d/1IYY_tgx_IHuhSq3AJ5eI5OnqOPBNLWSHKh2a30DoXe8/edit?usp=sharing"",""นครศรีธรรมราช!I293"")"),20)</f>
        <v>20</v>
      </c>
      <c r="J398" s="204">
        <f ca="1">IFERROR(__xludf.DUMMYFUNCTION("IMPORTRANGE(""https://docs.google.com/spreadsheets/d/1IYY_tgx_IHuhSq3AJ5eI5OnqOPBNLWSHKh2a30DoXe8/edit?usp=sharing"",""นครศรีธรรมราช!J293"")"),0)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IFERROR(__xludf.DUMMYFUNCTION("IMPORTRANGE(""https://docs.google.com/spreadsheets/d/1IYY_tgx_IHuhSq3AJ5eI5OnqOPBNLWSHKh2a30DoXe8/edit?usp=sharing"",""นครศรีธรรมราช!J294"")"),0)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IFERROR(__xludf.DUMMYFUNCTION("IMPORTRANGE(""https://docs.google.com/spreadsheets/d/1IYY_tgx_IHuhSq3AJ5eI5OnqOPBNLWSHKh2a30DoXe8/edit?usp=sharing"",""นครศรีธรรมราช!J295"")"),0)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IFERROR(__xludf.DUMMYFUNCTION("IMPORTRANGE(""https://docs.google.com/spreadsheets/d/1IYY_tgx_IHuhSq3AJ5eI5OnqOPBNLWSHKh2a30DoXe8/edit?usp=sharing"",""นครศรีธรรมราช!I296"")"),120)</f>
        <v>120</v>
      </c>
      <c r="J401" s="377">
        <f ca="1">IFERROR(__xludf.DUMMYFUNCTION("IMPORTRANGE(""https://docs.google.com/spreadsheets/d/1IYY_tgx_IHuhSq3AJ5eI5OnqOPBNLWSHKh2a30DoXe8/edit?usp=sharing"",""นครศรีธรรมราช!J296"")"),0)</f>
        <v>0</v>
      </c>
      <c r="K401" s="378">
        <f t="shared" ref="K401:K402" ca="1" si="111">IF(I401&gt;0,J401*100/I401,0)</f>
        <v>0</v>
      </c>
      <c r="L401" s="379">
        <f ca="1">IFERROR(__xludf.DUMMYFUNCTION("IMPORTRANGE(""https://docs.google.com/spreadsheets/d/1IYY_tgx_IHuhSq3AJ5eI5OnqOPBNLWSHKh2a30DoXe8/edit?usp=sharing"",""นครศรีธรรมราช!L296"")"),114760)</f>
        <v>114760</v>
      </c>
      <c r="M401" s="379"/>
      <c r="N401" s="379">
        <f ca="1">IFERROR(__xludf.DUMMYFUNCTION("IMPORTRANGE(""https://docs.google.com/spreadsheets/d/1IYY_tgx_IHuhSq3AJ5eI5OnqOPBNLWSHKh2a30DoXe8/edit?usp=sharing"",""นครศรีธรรมราช!M296"")"),31520)</f>
        <v>31520</v>
      </c>
      <c r="O401" s="379">
        <f ca="1">+IF(L401&gt;0,N401*100/L401,0)</f>
        <v>27.466016033461138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IFERROR(__xludf.DUMMYFUNCTION("IMPORTRANGE(""https://docs.google.com/spreadsheets/d/1IYY_tgx_IHuhSq3AJ5eI5OnqOPBNLWSHKh2a30DoXe8/edit?usp=sharing"",""นครศรีธรรมราช!I297"")"),40)</f>
        <v>40</v>
      </c>
      <c r="J402" s="377">
        <f ca="1">IFERROR(__xludf.DUMMYFUNCTION("IMPORTRANGE(""https://docs.google.com/spreadsheets/d/1IYY_tgx_IHuhSq3AJ5eI5OnqOPBNLWSHKh2a30DoXe8/edit?usp=sharing"",""นครศรีธรรมราช!J297"")"),0)</f>
        <v>0</v>
      </c>
      <c r="K402" s="378">
        <f t="shared" ca="1" si="111"/>
        <v>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IFERROR(__xludf.DUMMYFUNCTION("IMPORTRANGE(""https://docs.google.com/spreadsheets/d/1IYY_tgx_IHuhSq3AJ5eI5OnqOPBNLWSHKh2a30DoXe8/edit?usp=sharing"",""นครศรีธรรมราช!L298"")"),0)</f>
        <v>0</v>
      </c>
      <c r="M403" s="168"/>
      <c r="N403" s="175">
        <f ca="1">IFERROR(__xludf.DUMMYFUNCTION("IMPORTRANGE(""https://docs.google.com/spreadsheets/d/1IYY_tgx_IHuhSq3AJ5eI5OnqOPBNLWSHKh2a30DoXe8/edit?usp=sharing"",""นครศรีธรรมราช!M298"")"),0)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IFERROR(__xludf.DUMMYFUNCTION("IMPORTRANGE(""https://docs.google.com/spreadsheets/d/1IYY_tgx_IHuhSq3AJ5eI5OnqOPBNLWSHKh2a30DoXe8/edit?usp=sharing"",""นครศรีธรรมราช!L299"")"),114760)</f>
        <v>114760</v>
      </c>
      <c r="M404" s="169"/>
      <c r="N404" s="175">
        <f ca="1">IFERROR(__xludf.DUMMYFUNCTION("IMPORTRANGE(""https://docs.google.com/spreadsheets/d/1IYY_tgx_IHuhSq3AJ5eI5OnqOPBNLWSHKh2a30DoXe8/edit?usp=sharing"",""นครศรีธรรมราช!M299"")"),31520)</f>
        <v>31520</v>
      </c>
      <c r="O404" s="175">
        <f t="shared" ca="1" si="112"/>
        <v>27.466016033461138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IFERROR(__xludf.DUMMYFUNCTION("IMPORTRANGE(""https://docs.google.com/spreadsheets/d/1IYY_tgx_IHuhSq3AJ5eI5OnqOPBNLWSHKh2a30DoXe8/edit?usp=sharing"",""นครศรีธรรมราช!L300"")"),0)</f>
        <v>0</v>
      </c>
      <c r="M405" s="175"/>
      <c r="N405" s="175">
        <f ca="1">IFERROR(__xludf.DUMMYFUNCTION("IMPORTRANGE(""https://docs.google.com/spreadsheets/d/1IYY_tgx_IHuhSq3AJ5eI5OnqOPBNLWSHKh2a30DoXe8/edit?usp=sharing"",""นครศรีธรรมราช!M300"")"),0)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IFERROR(__xludf.DUMMYFUNCTION("IMPORTRANGE(""https://docs.google.com/spreadsheets/d/1IYY_tgx_IHuhSq3AJ5eI5OnqOPBNLWSHKh2a30DoXe8/edit?usp=sharing"",""นครศรีธรรมราช!L301"")"),114760)</f>
        <v>114760</v>
      </c>
      <c r="M406" s="175"/>
      <c r="N406" s="175">
        <f ca="1">IFERROR(__xludf.DUMMYFUNCTION("IMPORTRANGE(""https://docs.google.com/spreadsheets/d/1IYY_tgx_IHuhSq3AJ5eI5OnqOPBNLWSHKh2a30DoXe8/edit?usp=sharing"",""นครศรีธรรมราช!M301"")"),31520)</f>
        <v>31520</v>
      </c>
      <c r="O406" s="175">
        <f t="shared" ca="1" si="112"/>
        <v>27.466016033461138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IFERROR(__xludf.DUMMYFUNCTION("IMPORTRANGE(""https://docs.google.com/spreadsheets/d/1IYY_tgx_IHuhSq3AJ5eI5OnqOPBNLWSHKh2a30DoXe8/edit?usp=sharing"",""นครศรีธรรมราช!M302"")"),30000)</f>
        <v>30000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IFERROR(__xludf.DUMMYFUNCTION("IMPORTRANGE(""https://docs.google.com/spreadsheets/d/1IYY_tgx_IHuhSq3AJ5eI5OnqOPBNLWSHKh2a30DoXe8/edit?usp=sharing"",""นครศรีธรรมราช!M303"")"),0)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IFERROR(__xludf.DUMMYFUNCTION("IMPORTRANGE(""https://docs.google.com/spreadsheets/d/1IYY_tgx_IHuhSq3AJ5eI5OnqOPBNLWSHKh2a30DoXe8/edit?usp=sharing"",""นครศรีธรรมราช!M304"")"),0)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IFERROR(__xludf.DUMMYFUNCTION("IMPORTRANGE(""https://docs.google.com/spreadsheets/d/1IYY_tgx_IHuhSq3AJ5eI5OnqOPBNLWSHKh2a30DoXe8/edit?usp=sharing"",""นครศรีธรรมราช!M305"")"),1520)</f>
        <v>1520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IFERROR(__xludf.DUMMYFUNCTION("IMPORTRANGE(""https://docs.google.com/spreadsheets/d/1IYY_tgx_IHuhSq3AJ5eI5OnqOPBNLWSHKh2a30DoXe8/edit?usp=sharing"",""นครศรีธรรมราช!J307"")"),0)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IFERROR(__xludf.DUMMYFUNCTION("IMPORTRANGE(""https://docs.google.com/spreadsheets/d/1IYY_tgx_IHuhSq3AJ5eI5OnqOPBNLWSHKh2a30DoXe8/edit?usp=sharing"",""นครศรีธรรมราช!J308"")"),1)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IFERROR(__xludf.DUMMYFUNCTION("IMPORTRANGE(""https://docs.google.com/spreadsheets/d/1IYY_tgx_IHuhSq3AJ5eI5OnqOPBNLWSHKh2a30DoXe8/edit?usp=sharing"",""นครศรีธรรมราช!J309"")"),1)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IFERROR(__xludf.DUMMYFUNCTION("IMPORTRANGE(""https://docs.google.com/spreadsheets/d/1IYY_tgx_IHuhSq3AJ5eI5OnqOPBNLWSHKh2a30DoXe8/edit?usp=sharing"",""นครศรีธรรมราช!J310"")"),1)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IFERROR(__xludf.DUMMYFUNCTION("IMPORTRANGE(""https://docs.google.com/spreadsheets/d/1IYY_tgx_IHuhSq3AJ5eI5OnqOPBNLWSHKh2a30DoXe8/edit?usp=sharing"",""นครศรีธรรมราช!I311"")"),40)</f>
        <v>40</v>
      </c>
      <c r="J416" s="207">
        <f ca="1">IFERROR(__xludf.DUMMYFUNCTION("IMPORTRANGE(""https://docs.google.com/spreadsheets/d/1IYY_tgx_IHuhSq3AJ5eI5OnqOPBNLWSHKh2a30DoXe8/edit?usp=sharing"",""นครศรีธรรมราช!J311"")"),0)</f>
        <v>0</v>
      </c>
      <c r="K416" s="208">
        <f t="shared" ref="K416:K432" ca="1" si="113">IF(I416&gt;0,J416*100/I416,0)</f>
        <v>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IFERROR(__xludf.DUMMYFUNCTION("IMPORTRANGE(""https://docs.google.com/spreadsheets/d/1IYY_tgx_IHuhSq3AJ5eI5OnqOPBNLWSHKh2a30DoXe8/edit?usp=sharing"",""นครศรีธรรมราช!I312"")"),0)</f>
        <v>0</v>
      </c>
      <c r="J417" s="398">
        <f ca="1">IFERROR(__xludf.DUMMYFUNCTION("IMPORTRANGE(""https://docs.google.com/spreadsheets/d/1IYY_tgx_IHuhSq3AJ5eI5OnqOPBNLWSHKh2a30DoXe8/edit?usp=sharing"",""นครศรีธรรมราช!J312"")"),0)</f>
        <v>0</v>
      </c>
      <c r="K417" s="208">
        <f t="shared" ca="1" si="113"/>
        <v>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IFERROR(__xludf.DUMMYFUNCTION("IMPORTRANGE(""https://docs.google.com/spreadsheets/d/1IYY_tgx_IHuhSq3AJ5eI5OnqOPBNLWSHKh2a30DoXe8/edit?usp=sharing"",""นครศรีธรรมราช!I313"")"),0)</f>
        <v>0</v>
      </c>
      <c r="J418" s="399">
        <f ca="1">IFERROR(__xludf.DUMMYFUNCTION("IMPORTRANGE(""https://docs.google.com/spreadsheets/d/1IYY_tgx_IHuhSq3AJ5eI5OnqOPBNLWSHKh2a30DoXe8/edit?usp=sharing"",""นครศรีธรรมราช!J313"")"),0)</f>
        <v>0</v>
      </c>
      <c r="K418" s="208">
        <f t="shared" ca="1" si="113"/>
        <v>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IFERROR(__xludf.DUMMYFUNCTION("IMPORTRANGE(""https://docs.google.com/spreadsheets/d/1IYY_tgx_IHuhSq3AJ5eI5OnqOPBNLWSHKh2a30DoXe8/edit?usp=sharing"",""นครศรีธรรมราช!I314"")"),0)</f>
        <v>0</v>
      </c>
      <c r="J419" s="400">
        <f ca="1">IFERROR(__xludf.DUMMYFUNCTION("IMPORTRANGE(""https://docs.google.com/spreadsheets/d/1IYY_tgx_IHuhSq3AJ5eI5OnqOPBNLWSHKh2a30DoXe8/edit?usp=sharing"",""นครศรีธรรมราช!J314"")"),0)</f>
        <v>0</v>
      </c>
      <c r="K419" s="167">
        <f t="shared" ca="1" si="113"/>
        <v>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IFERROR(__xludf.DUMMYFUNCTION("IMPORTRANGE(""https://docs.google.com/spreadsheets/d/1IYY_tgx_IHuhSq3AJ5eI5OnqOPBNLWSHKh2a30DoXe8/edit?usp=sharing"",""นครศรีธรรมราช!I315"")"),0)</f>
        <v>0</v>
      </c>
      <c r="J420" s="400">
        <f ca="1">IFERROR(__xludf.DUMMYFUNCTION("IMPORTRANGE(""https://docs.google.com/spreadsheets/d/1IYY_tgx_IHuhSq3AJ5eI5OnqOPBNLWSHKh2a30DoXe8/edit?usp=sharing"",""นครศรีธรรมราช!J315"")"),0)</f>
        <v>0</v>
      </c>
      <c r="K420" s="294">
        <f t="shared" ca="1" si="113"/>
        <v>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IFERROR(__xludf.DUMMYFUNCTION("IMPORTRANGE(""https://docs.google.com/spreadsheets/d/1IYY_tgx_IHuhSq3AJ5eI5OnqOPBNLWSHKh2a30DoXe8/edit?usp=sharing"",""นครศรีธรรมราช!I316"")"),20)</f>
        <v>20</v>
      </c>
      <c r="J421" s="398">
        <f ca="1">IFERROR(__xludf.DUMMYFUNCTION("IMPORTRANGE(""https://docs.google.com/spreadsheets/d/1IYY_tgx_IHuhSq3AJ5eI5OnqOPBNLWSHKh2a30DoXe8/edit?usp=sharing"",""นครศรีธรรมราช!J316"")"),0)</f>
        <v>0</v>
      </c>
      <c r="K421" s="208">
        <f t="shared" ca="1" si="113"/>
        <v>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IFERROR(__xludf.DUMMYFUNCTION("IMPORTRANGE(""https://docs.google.com/spreadsheets/d/1IYY_tgx_IHuhSq3AJ5eI5OnqOPBNLWSHKh2a30DoXe8/edit?usp=sharing"",""นครศรีธรรมราช!I317"")"),60)</f>
        <v>60</v>
      </c>
      <c r="J422" s="399">
        <f ca="1">IFERROR(__xludf.DUMMYFUNCTION("IMPORTRANGE(""https://docs.google.com/spreadsheets/d/1IYY_tgx_IHuhSq3AJ5eI5OnqOPBNLWSHKh2a30DoXe8/edit?usp=sharing"",""นครศรีธรรมราช!J317"")"),0)</f>
        <v>0</v>
      </c>
      <c r="K422" s="208">
        <f t="shared" ca="1" si="113"/>
        <v>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IFERROR(__xludf.DUMMYFUNCTION("IMPORTRANGE(""https://docs.google.com/spreadsheets/d/1IYY_tgx_IHuhSq3AJ5eI5OnqOPBNLWSHKh2a30DoXe8/edit?usp=sharing"",""นครศรีธรรมราช!I318"")"),20)</f>
        <v>20</v>
      </c>
      <c r="J423" s="400">
        <f ca="1">IFERROR(__xludf.DUMMYFUNCTION("IMPORTRANGE(""https://docs.google.com/spreadsheets/d/1IYY_tgx_IHuhSq3AJ5eI5OnqOPBNLWSHKh2a30DoXe8/edit?usp=sharing"",""นครศรีธรรมราช!J318"")"),20)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IFERROR(__xludf.DUMMYFUNCTION("IMPORTRANGE(""https://docs.google.com/spreadsheets/d/1IYY_tgx_IHuhSq3AJ5eI5OnqOPBNLWSHKh2a30DoXe8/edit?usp=sharing"",""นครศรีธรรมราช!I319"")"),20)</f>
        <v>20</v>
      </c>
      <c r="J424" s="400">
        <f ca="1">IFERROR(__xludf.DUMMYFUNCTION("IMPORTRANGE(""https://docs.google.com/spreadsheets/d/1IYY_tgx_IHuhSq3AJ5eI5OnqOPBNLWSHKh2a30DoXe8/edit?usp=sharing"",""นครศรีธรรมราช!J319"")"),20)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IFERROR(__xludf.DUMMYFUNCTION("IMPORTRANGE(""https://docs.google.com/spreadsheets/d/1IYY_tgx_IHuhSq3AJ5eI5OnqOPBNLWSHKh2a30DoXe8/edit?usp=sharing"",""นครศรีธรรมราช!I320"")"),20)</f>
        <v>20</v>
      </c>
      <c r="J425" s="400">
        <f ca="1">IFERROR(__xludf.DUMMYFUNCTION("IMPORTRANGE(""https://docs.google.com/spreadsheets/d/1IYY_tgx_IHuhSq3AJ5eI5OnqOPBNLWSHKh2a30DoXe8/edit?usp=sharing"",""นครศรีธรรมราช!J320"")"),0)</f>
        <v>0</v>
      </c>
      <c r="K425" s="167">
        <f t="shared" ca="1" si="113"/>
        <v>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IFERROR(__xludf.DUMMYFUNCTION("IMPORTRANGE(""https://docs.google.com/spreadsheets/d/1IYY_tgx_IHuhSq3AJ5eI5OnqOPBNLWSHKh2a30DoXe8/edit?usp=sharing"",""นครศรีธรรมราช!I321"")"),20)</f>
        <v>20</v>
      </c>
      <c r="J426" s="398">
        <f ca="1">IFERROR(__xludf.DUMMYFUNCTION("IMPORTRANGE(""https://docs.google.com/spreadsheets/d/1IYY_tgx_IHuhSq3AJ5eI5OnqOPBNLWSHKh2a30DoXe8/edit?usp=sharing"",""นครศรีธรรมราช!J321"")"),0)</f>
        <v>0</v>
      </c>
      <c r="K426" s="208">
        <f t="shared" ca="1" si="113"/>
        <v>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IFERROR(__xludf.DUMMYFUNCTION("IMPORTRANGE(""https://docs.google.com/spreadsheets/d/1IYY_tgx_IHuhSq3AJ5eI5OnqOPBNLWSHKh2a30DoXe8/edit?usp=sharing"",""นครศรีธรรมราช!I322"")"),60)</f>
        <v>60</v>
      </c>
      <c r="J427" s="399">
        <f ca="1">IFERROR(__xludf.DUMMYFUNCTION("IMPORTRANGE(""https://docs.google.com/spreadsheets/d/1IYY_tgx_IHuhSq3AJ5eI5OnqOPBNLWSHKh2a30DoXe8/edit?usp=sharing"",""นครศรีธรรมราช!J322"")"),0)</f>
        <v>0</v>
      </c>
      <c r="K427" s="208">
        <f t="shared" ca="1" si="113"/>
        <v>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IFERROR(__xludf.DUMMYFUNCTION("IMPORTRANGE(""https://docs.google.com/spreadsheets/d/1IYY_tgx_IHuhSq3AJ5eI5OnqOPBNLWSHKh2a30DoXe8/edit?usp=sharing"",""นครศรีธรรมราช!I323"")"),20)</f>
        <v>20</v>
      </c>
      <c r="J428" s="400">
        <f ca="1">IFERROR(__xludf.DUMMYFUNCTION("IMPORTRANGE(""https://docs.google.com/spreadsheets/d/1IYY_tgx_IHuhSq3AJ5eI5OnqOPBNLWSHKh2a30DoXe8/edit?usp=sharing"",""นครศรีธรรมราช!J323"")"),0)</f>
        <v>0</v>
      </c>
      <c r="K428" s="167">
        <f t="shared" ca="1" si="113"/>
        <v>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IFERROR(__xludf.DUMMYFUNCTION("IMPORTRANGE(""https://docs.google.com/spreadsheets/d/1IYY_tgx_IHuhSq3AJ5eI5OnqOPBNLWSHKh2a30DoXe8/edit?usp=sharing"",""นครศรีธรรมราช!I324"")"),20)</f>
        <v>20</v>
      </c>
      <c r="J429" s="400">
        <f ca="1">IFERROR(__xludf.DUMMYFUNCTION("IMPORTRANGE(""https://docs.google.com/spreadsheets/d/1IYY_tgx_IHuhSq3AJ5eI5OnqOPBNLWSHKh2a30DoXe8/edit?usp=sharing"",""นครศรีธรรมราช!J324"")"),0)</f>
        <v>0</v>
      </c>
      <c r="K429" s="167">
        <f t="shared" ca="1" si="113"/>
        <v>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IFERROR(__xludf.DUMMYFUNCTION("IMPORTRANGE(""https://docs.google.com/spreadsheets/d/1IYY_tgx_IHuhSq3AJ5eI5OnqOPBNLWSHKh2a30DoXe8/edit?usp=sharing"",""นครศรีธรรมราช!I325"")"),20)</f>
        <v>20</v>
      </c>
      <c r="J430" s="398">
        <f ca="1">IFERROR(__xludf.DUMMYFUNCTION("IMPORTRANGE(""https://docs.google.com/spreadsheets/d/1IYY_tgx_IHuhSq3AJ5eI5OnqOPBNLWSHKh2a30DoXe8/edit?usp=sharing"",""นครศรีธรรมราช!J325"")"),0)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IFERROR(__xludf.DUMMYFUNCTION("IMPORTRANGE(""https://docs.google.com/spreadsheets/d/1IYY_tgx_IHuhSq3AJ5eI5OnqOPBNLWSHKh2a30DoXe8/edit?usp=sharing"",""นครศรีธรรมราช!I326"")"),0)</f>
        <v>0</v>
      </c>
      <c r="J431" s="400">
        <f ca="1">IFERROR(__xludf.DUMMYFUNCTION("IMPORTRANGE(""https://docs.google.com/spreadsheets/d/1IYY_tgx_IHuhSq3AJ5eI5OnqOPBNLWSHKh2a30DoXe8/edit?usp=sharing"",""นครศรีธรรมราช!J326"")"),0)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IFERROR(__xludf.DUMMYFUNCTION("IMPORTRANGE(""https://docs.google.com/spreadsheets/d/1IYY_tgx_IHuhSq3AJ5eI5OnqOPBNLWSHKh2a30DoXe8/edit?usp=sharing"",""นครศรีธรรมราช!I327"")"),20)</f>
        <v>20</v>
      </c>
      <c r="J432" s="400">
        <f ca="1">IFERROR(__xludf.DUMMYFUNCTION("IMPORTRANGE(""https://docs.google.com/spreadsheets/d/1IYY_tgx_IHuhSq3AJ5eI5OnqOPBNLWSHKh2a30DoXe8/edit?usp=sharing"",""นครศรีธรรมราช!J327"")"),0)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IFERROR(__xludf.DUMMYFUNCTION("IMPORTRANGE(""https://docs.google.com/spreadsheets/d/1IYY_tgx_IHuhSq3AJ5eI5OnqOPBNLWSHKh2a30DoXe8/edit?usp=sharing"",""นครศรีธรรมราช!J328"")"),0)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IFERROR(__xludf.DUMMYFUNCTION("IMPORTRANGE(""https://docs.google.com/spreadsheets/d/1IYY_tgx_IHuhSq3AJ5eI5OnqOPBNLWSHKh2a30DoXe8/edit?usp=sharing"",""นครศรีธรรมราช!J329"")"),0)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IFERROR(__xludf.DUMMYFUNCTION("IMPORTRANGE(""https://docs.google.com/spreadsheets/d/1IYY_tgx_IHuhSq3AJ5eI5OnqOPBNLWSHKh2a30DoXe8/edit?usp=sharing"",""นครศรีธรรมราช!I330"")"),15)</f>
        <v>15</v>
      </c>
      <c r="J435" s="416">
        <f ca="1">IFERROR(__xludf.DUMMYFUNCTION("IMPORTRANGE(""https://docs.google.com/spreadsheets/d/1IYY_tgx_IHuhSq3AJ5eI5OnqOPBNLWSHKh2a30DoXe8/edit?usp=sharing"",""นครศรีธรรมราช!J330"")"),15)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IFERROR(__xludf.DUMMYFUNCTION("IMPORTRANGE(""https://docs.google.com/spreadsheets/d/1IYY_tgx_IHuhSq3AJ5eI5OnqOPBNLWSHKh2a30DoXe8/edit?usp=sharing"",""นครศรีธรรมราช!L330"")"),88000)</f>
        <v>88000</v>
      </c>
      <c r="M435" s="418"/>
      <c r="N435" s="418">
        <f ca="1">IFERROR(__xludf.DUMMYFUNCTION("IMPORTRANGE(""https://docs.google.com/spreadsheets/d/1IYY_tgx_IHuhSq3AJ5eI5OnqOPBNLWSHKh2a30DoXe8/edit?usp=sharing"",""นครศรีธรรมราช!M330"")"),17653)</f>
        <v>17653</v>
      </c>
      <c r="O435" s="418">
        <f t="shared" ref="O435:O439" ca="1" si="114">+IF(L435&gt;0,N435*100/L435,0)</f>
        <v>20.060227272727271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IFERROR(__xludf.DUMMYFUNCTION("IMPORTRANGE(""https://docs.google.com/spreadsheets/d/1IYY_tgx_IHuhSq3AJ5eI5OnqOPBNLWSHKh2a30DoXe8/edit?usp=sharing"",""นครศรีธรรมราช!L331"")"),0)</f>
        <v>0</v>
      </c>
      <c r="M436" s="168"/>
      <c r="N436" s="175">
        <f ca="1">IFERROR(__xludf.DUMMYFUNCTION("IMPORTRANGE(""https://docs.google.com/spreadsheets/d/1IYY_tgx_IHuhSq3AJ5eI5OnqOPBNLWSHKh2a30DoXe8/edit?usp=sharing"",""นครศรีธรรมราช!M331"")"),0)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IFERROR(__xludf.DUMMYFUNCTION("IMPORTRANGE(""https://docs.google.com/spreadsheets/d/1IYY_tgx_IHuhSq3AJ5eI5OnqOPBNLWSHKh2a30DoXe8/edit?usp=sharing"",""นครศรีธรรมราช!L332"")"),88000)</f>
        <v>88000</v>
      </c>
      <c r="M437" s="169"/>
      <c r="N437" s="175">
        <f ca="1">IFERROR(__xludf.DUMMYFUNCTION("IMPORTRANGE(""https://docs.google.com/spreadsheets/d/1IYY_tgx_IHuhSq3AJ5eI5OnqOPBNLWSHKh2a30DoXe8/edit?usp=sharing"",""นครศรีธรรมราช!M332"")"),17653)</f>
        <v>17653</v>
      </c>
      <c r="O437" s="175">
        <f t="shared" ca="1" si="114"/>
        <v>20.060227272727271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IFERROR(__xludf.DUMMYFUNCTION("IMPORTRANGE(""https://docs.google.com/spreadsheets/d/1IYY_tgx_IHuhSq3AJ5eI5OnqOPBNLWSHKh2a30DoXe8/edit?usp=sharing"",""นครศรีธรรมราช!L333"")"),0)</f>
        <v>0</v>
      </c>
      <c r="M438" s="175"/>
      <c r="N438" s="175">
        <f ca="1">IFERROR(__xludf.DUMMYFUNCTION("IMPORTRANGE(""https://docs.google.com/spreadsheets/d/1IYY_tgx_IHuhSq3AJ5eI5OnqOPBNLWSHKh2a30DoXe8/edit?usp=sharing"",""นครศรีธรรมราช!M333"")"),0)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IFERROR(__xludf.DUMMYFUNCTION("IMPORTRANGE(""https://docs.google.com/spreadsheets/d/1IYY_tgx_IHuhSq3AJ5eI5OnqOPBNLWSHKh2a30DoXe8/edit?usp=sharing"",""นครศรีธรรมราช!L334"")"),88000)</f>
        <v>88000</v>
      </c>
      <c r="M439" s="175"/>
      <c r="N439" s="175">
        <f ca="1">IFERROR(__xludf.DUMMYFUNCTION("IMPORTRANGE(""https://docs.google.com/spreadsheets/d/1IYY_tgx_IHuhSq3AJ5eI5OnqOPBNLWSHKh2a30DoXe8/edit?usp=sharing"",""นครศรีธรรมราช!M334"")"),17653)</f>
        <v>17653</v>
      </c>
      <c r="O439" s="175">
        <f t="shared" ca="1" si="114"/>
        <v>20.060227272727271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IFERROR(__xludf.DUMMYFUNCTION("IMPORTRANGE(""https://docs.google.com/spreadsheets/d/1IYY_tgx_IHuhSq3AJ5eI5OnqOPBNLWSHKh2a30DoXe8/edit?usp=sharing"",""นครศรีธรรมราช!M335"")"),17653)</f>
        <v>17653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IFERROR(__xludf.DUMMYFUNCTION("IMPORTRANGE(""https://docs.google.com/spreadsheets/d/1IYY_tgx_IHuhSq3AJ5eI5OnqOPBNLWSHKh2a30DoXe8/edit?usp=sharing"",""นครศรีธรรมราช!M336"")"),0)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IFERROR(__xludf.DUMMYFUNCTION("IMPORTRANGE(""https://docs.google.com/spreadsheets/d/1IYY_tgx_IHuhSq3AJ5eI5OnqOPBNLWSHKh2a30DoXe8/edit?usp=sharing"",""นครศรีธรรมราช!M337"")"),0)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IFERROR(__xludf.DUMMYFUNCTION("IMPORTRANGE(""https://docs.google.com/spreadsheets/d/1IYY_tgx_IHuhSq3AJ5eI5OnqOPBNLWSHKh2a30DoXe8/edit?usp=sharing"",""นครศรีธรรมราช!M338"")"),0)</f>
        <v>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IFERROR(__xludf.DUMMYFUNCTION("IMPORTRANGE(""https://docs.google.com/spreadsheets/d/1IYY_tgx_IHuhSq3AJ5eI5OnqOPBNLWSHKh2a30DoXe8/edit?usp=sharing"",""นครศรีธรรมราช!J340"")"),0)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IFERROR(__xludf.DUMMYFUNCTION("IMPORTRANGE(""https://docs.google.com/spreadsheets/d/1IYY_tgx_IHuhSq3AJ5eI5OnqOPBNLWSHKh2a30DoXe8/edit?usp=sharing"",""นครศรีธรรมราช!J341"")"),1)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IFERROR(__xludf.DUMMYFUNCTION("IMPORTRANGE(""https://docs.google.com/spreadsheets/d/1IYY_tgx_IHuhSq3AJ5eI5OnqOPBNLWSHKh2a30DoXe8/edit?usp=sharing"",""นครศรีธรรมราช!J342"")"),1)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IFERROR(__xludf.DUMMYFUNCTION("IMPORTRANGE(""https://docs.google.com/spreadsheets/d/1IYY_tgx_IHuhSq3AJ5eI5OnqOPBNLWSHKh2a30DoXe8/edit?usp=sharing"",""นครศรีธรรมราช!J343"")"),1)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IFERROR(__xludf.DUMMYFUNCTION("IMPORTRANGE(""https://docs.google.com/spreadsheets/d/1IYY_tgx_IHuhSq3AJ5eI5OnqOPBNLWSHKh2a30DoXe8/edit?usp=sharing"",""นครศรีธรรมราช!I344"")"),15)</f>
        <v>15</v>
      </c>
      <c r="J449" s="207">
        <f ca="1">IFERROR(__xludf.DUMMYFUNCTION("IMPORTRANGE(""https://docs.google.com/spreadsheets/d/1IYY_tgx_IHuhSq3AJ5eI5OnqOPBNLWSHKh2a30DoXe8/edit?usp=sharing"",""นครศรีธรรมราช!J344"")"),15)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IFERROR(__xludf.DUMMYFUNCTION("IMPORTRANGE(""https://docs.google.com/spreadsheets/d/1IYY_tgx_IHuhSq3AJ5eI5OnqOPBNLWSHKh2a30DoXe8/edit?usp=sharing"",""นครศรีธรรมราช!I345"")"),15)</f>
        <v>15</v>
      </c>
      <c r="J450" s="195">
        <f ca="1">IFERROR(__xludf.DUMMYFUNCTION("IMPORTRANGE(""https://docs.google.com/spreadsheets/d/1IYY_tgx_IHuhSq3AJ5eI5OnqOPBNLWSHKh2a30DoXe8/edit?usp=sharing"",""นครศรีธรรมราช!J345"")"),15)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IFERROR(__xludf.DUMMYFUNCTION("IMPORTRANGE(""https://docs.google.com/spreadsheets/d/1IYY_tgx_IHuhSq3AJ5eI5OnqOPBNLWSHKh2a30DoXe8/edit?usp=sharing"",""นครศรีธรรมราช!I346"")"),0)</f>
        <v>0</v>
      </c>
      <c r="J451" s="194">
        <f ca="1">IFERROR(__xludf.DUMMYFUNCTION("IMPORTRANGE(""https://docs.google.com/spreadsheets/d/1IYY_tgx_IHuhSq3AJ5eI5OnqOPBNLWSHKh2a30DoXe8/edit?usp=sharing"",""นครศรีธรรมราช!J346"")"),0)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IFERROR(__xludf.DUMMYFUNCTION("IMPORTRANGE(""https://docs.google.com/spreadsheets/d/1IYY_tgx_IHuhSq3AJ5eI5OnqOPBNLWSHKh2a30DoXe8/edit?usp=sharing"",""นครศรีธรรมราช!I347"")"),0)</f>
        <v>0</v>
      </c>
      <c r="J452" s="194">
        <f ca="1">IFERROR(__xludf.DUMMYFUNCTION("IMPORTRANGE(""https://docs.google.com/spreadsheets/d/1IYY_tgx_IHuhSq3AJ5eI5OnqOPBNLWSHKh2a30DoXe8/edit?usp=sharing"",""นครศรีธรรมราช!J347"")"),0)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IFERROR(__xludf.DUMMYFUNCTION("IMPORTRANGE(""https://docs.google.com/spreadsheets/d/1IYY_tgx_IHuhSq3AJ5eI5OnqOPBNLWSHKh2a30DoXe8/edit?usp=sharing"",""นครศรีธรรมราช!J348"")"),0)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IFERROR(__xludf.DUMMYFUNCTION("IMPORTRANGE(""https://docs.google.com/spreadsheets/d/1IYY_tgx_IHuhSq3AJ5eI5OnqOPBNLWSHKh2a30DoXe8/edit?usp=sharing"",""นครศรีธรรมราช!J349"")"),0)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IFERROR(__xludf.DUMMYFUNCTION("IMPORTRANGE(""https://docs.google.com/spreadsheets/d/1IYY_tgx_IHuhSq3AJ5eI5OnqOPBNLWSHKh2a30DoXe8/edit?usp=sharing"",""นครศรีธรรมราช!I350"")"),49838)</f>
        <v>49838</v>
      </c>
      <c r="J455" s="377">
        <f ca="1">IFERROR(__xludf.DUMMYFUNCTION("IMPORTRANGE(""https://docs.google.com/spreadsheets/d/1IYY_tgx_IHuhSq3AJ5eI5OnqOPBNLWSHKh2a30DoXe8/edit?usp=sharing"",""นครศรีธรรมราช!J350"")"),0)</f>
        <v>0</v>
      </c>
      <c r="K455" s="378">
        <f ca="1">IF(I455&gt;0,J455*100/I455,0)</f>
        <v>0</v>
      </c>
      <c r="L455" s="379">
        <f ca="1">IFERROR(__xludf.DUMMYFUNCTION("IMPORTRANGE(""https://docs.google.com/spreadsheets/d/1IYY_tgx_IHuhSq3AJ5eI5OnqOPBNLWSHKh2a30DoXe8/edit?usp=sharing"",""นครศรีธรรมราช!L350"")"),452203.8)</f>
        <v>452203.8</v>
      </c>
      <c r="M455" s="379"/>
      <c r="N455" s="379">
        <f ca="1">IFERROR(__xludf.DUMMYFUNCTION("IMPORTRANGE(""https://docs.google.com/spreadsheets/d/1IYY_tgx_IHuhSq3AJ5eI5OnqOPBNLWSHKh2a30DoXe8/edit?usp=sharing"",""นครศรีธรรมราช!M350"")"),138480.37)</f>
        <v>138480.37</v>
      </c>
      <c r="O455" s="379">
        <f t="shared" ref="O455:O459" ca="1" si="116">+IF(L455&gt;0,N455*100/L455,0)</f>
        <v>30.623442350550793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IFERROR(__xludf.DUMMYFUNCTION("IMPORTRANGE(""https://docs.google.com/spreadsheets/d/1IYY_tgx_IHuhSq3AJ5eI5OnqOPBNLWSHKh2a30DoXe8/edit?usp=sharing"",""นครศรีธรรมราช!L351"")"),0)</f>
        <v>0</v>
      </c>
      <c r="M456" s="168"/>
      <c r="N456" s="175">
        <f ca="1">IFERROR(__xludf.DUMMYFUNCTION("IMPORTRANGE(""https://docs.google.com/spreadsheets/d/1IYY_tgx_IHuhSq3AJ5eI5OnqOPBNLWSHKh2a30DoXe8/edit?usp=sharing"",""นครศรีธรรมราช!M351"")"),0)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IFERROR(__xludf.DUMMYFUNCTION("IMPORTRANGE(""https://docs.google.com/spreadsheets/d/1IYY_tgx_IHuhSq3AJ5eI5OnqOPBNLWSHKh2a30DoXe8/edit?usp=sharing"",""นครศรีธรรมราช!L352"")"),452203.8)</f>
        <v>452203.8</v>
      </c>
      <c r="M457" s="169"/>
      <c r="N457" s="175">
        <f ca="1">IFERROR(__xludf.DUMMYFUNCTION("IMPORTRANGE(""https://docs.google.com/spreadsheets/d/1IYY_tgx_IHuhSq3AJ5eI5OnqOPBNLWSHKh2a30DoXe8/edit?usp=sharing"",""นครศรีธรรมราช!M352"")"),138480.37)</f>
        <v>138480.37</v>
      </c>
      <c r="O457" s="175">
        <f t="shared" ca="1" si="116"/>
        <v>30.623442350550793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IFERROR(__xludf.DUMMYFUNCTION("IMPORTRANGE(""https://docs.google.com/spreadsheets/d/1IYY_tgx_IHuhSq3AJ5eI5OnqOPBNLWSHKh2a30DoXe8/edit?usp=sharing"",""นครศรีธรรมราช!L353"")"),0)</f>
        <v>0</v>
      </c>
      <c r="M458" s="175"/>
      <c r="N458" s="175">
        <f ca="1">IFERROR(__xludf.DUMMYFUNCTION("IMPORTRANGE(""https://docs.google.com/spreadsheets/d/1IYY_tgx_IHuhSq3AJ5eI5OnqOPBNLWSHKh2a30DoXe8/edit?usp=sharing"",""นครศรีธรรมราช!M353"")"),0)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IFERROR(__xludf.DUMMYFUNCTION("IMPORTRANGE(""https://docs.google.com/spreadsheets/d/1IYY_tgx_IHuhSq3AJ5eI5OnqOPBNLWSHKh2a30DoXe8/edit?usp=sharing"",""นครศรีธรรมราช!L354"")"),452203.8)</f>
        <v>452203.8</v>
      </c>
      <c r="M459" s="175"/>
      <c r="N459" s="175">
        <f ca="1">IFERROR(__xludf.DUMMYFUNCTION("IMPORTRANGE(""https://docs.google.com/spreadsheets/d/1IYY_tgx_IHuhSq3AJ5eI5OnqOPBNLWSHKh2a30DoXe8/edit?usp=sharing"",""นครศรีธรรมราช!M354"")"),138480.37)</f>
        <v>138480.37</v>
      </c>
      <c r="O459" s="175">
        <f t="shared" ca="1" si="116"/>
        <v>30.623442350550793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IFERROR(__xludf.DUMMYFUNCTION("IMPORTRANGE(""https://docs.google.com/spreadsheets/d/1IYY_tgx_IHuhSq3AJ5eI5OnqOPBNLWSHKh2a30DoXe8/edit?usp=sharing"",""นครศรีธรรมราช!M355"")"),0)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IFERROR(__xludf.DUMMYFUNCTION("IMPORTRANGE(""https://docs.google.com/spreadsheets/d/1IYY_tgx_IHuhSq3AJ5eI5OnqOPBNLWSHKh2a30DoXe8/edit?usp=sharing"",""นครศรีธรรมราช!M356"")"),0)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IFERROR(__xludf.DUMMYFUNCTION("IMPORTRANGE(""https://docs.google.com/spreadsheets/d/1IYY_tgx_IHuhSq3AJ5eI5OnqOPBNLWSHKh2a30DoXe8/edit?usp=sharing"",""นครศรีธรรมราช!M357"")"),46483.87)</f>
        <v>46483.87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IFERROR(__xludf.DUMMYFUNCTION("IMPORTRANGE(""https://docs.google.com/spreadsheets/d/1IYY_tgx_IHuhSq3AJ5eI5OnqOPBNLWSHKh2a30DoXe8/edit?usp=sharing"",""นครศรีธรรมราช!M358"")"),91996.5)</f>
        <v>91996.5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IFERROR(__xludf.DUMMYFUNCTION("IMPORTRANGE(""https://docs.google.com/spreadsheets/d/1IYY_tgx_IHuhSq3AJ5eI5OnqOPBNLWSHKh2a30DoXe8/edit?usp=sharing"",""นครศรีธรรมราช!I359"")"),49838)</f>
        <v>49838</v>
      </c>
      <c r="J464" s="273">
        <f ca="1">IFERROR(__xludf.DUMMYFUNCTION("IMPORTRANGE(""https://docs.google.com/spreadsheets/d/1IYY_tgx_IHuhSq3AJ5eI5OnqOPBNLWSHKh2a30DoXe8/edit?usp=sharing"",""นครศรีธรรมราช!J359"")"),0)</f>
        <v>0</v>
      </c>
      <c r="K464" s="274">
        <f t="shared" ref="K464:K515" ca="1" si="117">IF(I464&gt;0,J464*100/I464,0)</f>
        <v>0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IFERROR(__xludf.DUMMYFUNCTION("IMPORTRANGE(""https://docs.google.com/spreadsheets/d/1IYY_tgx_IHuhSq3AJ5eI5OnqOPBNLWSHKh2a30DoXe8/edit?usp=sharing"",""นครศรีธรรมราช!I360"")"),49838)</f>
        <v>49838</v>
      </c>
      <c r="J465" s="426">
        <f ca="1">IFERROR(__xludf.DUMMYFUNCTION("IMPORTRANGE(""https://docs.google.com/spreadsheets/d/1IYY_tgx_IHuhSq3AJ5eI5OnqOPBNLWSHKh2a30DoXe8/edit?usp=sharing"",""นครศรีธรรมราช!J360"")"),49838)</f>
        <v>49838</v>
      </c>
      <c r="K465" s="208">
        <f t="shared" ca="1" si="117"/>
        <v>100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IFERROR(__xludf.DUMMYFUNCTION("IMPORTRANGE(""https://docs.google.com/spreadsheets/d/1IYY_tgx_IHuhSq3AJ5eI5OnqOPBNLWSHKh2a30DoXe8/edit?usp=sharing"",""นครศรีธรรมราช!I361"")"),6576)</f>
        <v>6576</v>
      </c>
      <c r="J466" s="426">
        <f ca="1">IFERROR(__xludf.DUMMYFUNCTION("IMPORTRANGE(""https://docs.google.com/spreadsheets/d/1IYY_tgx_IHuhSq3AJ5eI5OnqOPBNLWSHKh2a30DoXe8/edit?usp=sharing"",""นครศรีธรรมราช!J361"")"),6576)</f>
        <v>6576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IFERROR(__xludf.DUMMYFUNCTION("IMPORTRANGE(""https://docs.google.com/spreadsheets/d/1IYY_tgx_IHuhSq3AJ5eI5OnqOPBNLWSHKh2a30DoXe8/edit?usp=sharing"",""นครศรีธรรมราช!I362"")"),0)</f>
        <v>0</v>
      </c>
      <c r="J467" s="195">
        <f ca="1">IFERROR(__xludf.DUMMYFUNCTION("IMPORTRANGE(""https://docs.google.com/spreadsheets/d/1IYY_tgx_IHuhSq3AJ5eI5OnqOPBNLWSHKh2a30DoXe8/edit?usp=sharing"",""นครศรีธรรมราช!J362"")"),48142)</f>
        <v>48142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IFERROR(__xludf.DUMMYFUNCTION("IMPORTRANGE(""https://docs.google.com/spreadsheets/d/1IYY_tgx_IHuhSq3AJ5eI5OnqOPBNLWSHKh2a30DoXe8/edit?usp=sharing"",""นครศรีธรรมราช!I363"")"),0)</f>
        <v>0</v>
      </c>
      <c r="J468" s="195">
        <f ca="1">IFERROR(__xludf.DUMMYFUNCTION("IMPORTRANGE(""https://docs.google.com/spreadsheets/d/1IYY_tgx_IHuhSq3AJ5eI5OnqOPBNLWSHKh2a30DoXe8/edit?usp=sharing"",""นครศรีธรรมราช!J363"")"),6368)</f>
        <v>6368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IFERROR(__xludf.DUMMYFUNCTION("IMPORTRANGE(""https://docs.google.com/spreadsheets/d/1IYY_tgx_IHuhSq3AJ5eI5OnqOPBNLWSHKh2a30DoXe8/edit?usp=sharing"",""นครศรีธรรมราช!I364"")"),0)</f>
        <v>0</v>
      </c>
      <c r="J469" s="195">
        <f ca="1">IFERROR(__xludf.DUMMYFUNCTION("IMPORTRANGE(""https://docs.google.com/spreadsheets/d/1IYY_tgx_IHuhSq3AJ5eI5OnqOPBNLWSHKh2a30DoXe8/edit?usp=sharing"",""นครศรีธรรมราช!J364"")"),1097)</f>
        <v>1097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IFERROR(__xludf.DUMMYFUNCTION("IMPORTRANGE(""https://docs.google.com/spreadsheets/d/1IYY_tgx_IHuhSq3AJ5eI5OnqOPBNLWSHKh2a30DoXe8/edit?usp=sharing"",""นครศรีธรรมราช!I365"")"),0)</f>
        <v>0</v>
      </c>
      <c r="J470" s="195">
        <f ca="1">IFERROR(__xludf.DUMMYFUNCTION("IMPORTRANGE(""https://docs.google.com/spreadsheets/d/1IYY_tgx_IHuhSq3AJ5eI5OnqOPBNLWSHKh2a30DoXe8/edit?usp=sharing"",""นครศรีธรรมราช!J365"")"),143)</f>
        <v>143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IFERROR(__xludf.DUMMYFUNCTION("IMPORTRANGE(""https://docs.google.com/spreadsheets/d/1IYY_tgx_IHuhSq3AJ5eI5OnqOPBNLWSHKh2a30DoXe8/edit?usp=sharing"",""นครศรีธรรมราช!I366"")"),0)</f>
        <v>0</v>
      </c>
      <c r="J471" s="195">
        <f ca="1">IFERROR(__xludf.DUMMYFUNCTION("IMPORTRANGE(""https://docs.google.com/spreadsheets/d/1IYY_tgx_IHuhSq3AJ5eI5OnqOPBNLWSHKh2a30DoXe8/edit?usp=sharing"",""นครศรีธรรมราช!J366"")"),599)</f>
        <v>599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IFERROR(__xludf.DUMMYFUNCTION("IMPORTRANGE(""https://docs.google.com/spreadsheets/d/1IYY_tgx_IHuhSq3AJ5eI5OnqOPBNLWSHKh2a30DoXe8/edit?usp=sharing"",""นครศรีธรรมราช!I367"")"),0)</f>
        <v>0</v>
      </c>
      <c r="J472" s="195">
        <f ca="1">IFERROR(__xludf.DUMMYFUNCTION("IMPORTRANGE(""https://docs.google.com/spreadsheets/d/1IYY_tgx_IHuhSq3AJ5eI5OnqOPBNLWSHKh2a30DoXe8/edit?usp=sharing"",""นครศรีธรรมราช!J367"")"),65)</f>
        <v>65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IFERROR(__xludf.DUMMYFUNCTION("IMPORTRANGE(""https://docs.google.com/spreadsheets/d/1IYY_tgx_IHuhSq3AJ5eI5OnqOPBNLWSHKh2a30DoXe8/edit?usp=sharing"",""นครศรีธรรมราช!I368"")"),49838)</f>
        <v>49838</v>
      </c>
      <c r="J473" s="426">
        <f ca="1">IFERROR(__xludf.DUMMYFUNCTION("IMPORTRANGE(""https://docs.google.com/spreadsheets/d/1IYY_tgx_IHuhSq3AJ5eI5OnqOPBNLWSHKh2a30DoXe8/edit?usp=sharing"",""นครศรีธรรมราช!J368"")"),49838)</f>
        <v>49838</v>
      </c>
      <c r="K473" s="208">
        <f t="shared" ca="1" si="117"/>
        <v>100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IFERROR(__xludf.DUMMYFUNCTION("IMPORTRANGE(""https://docs.google.com/spreadsheets/d/1IYY_tgx_IHuhSq3AJ5eI5OnqOPBNLWSHKh2a30DoXe8/edit?usp=sharing"",""นครศรีธรรมราช!I369"")"),6576)</f>
        <v>6576</v>
      </c>
      <c r="J474" s="426">
        <f ca="1">IFERROR(__xludf.DUMMYFUNCTION("IMPORTRANGE(""https://docs.google.com/spreadsheets/d/1IYY_tgx_IHuhSq3AJ5eI5OnqOPBNLWSHKh2a30DoXe8/edit?usp=sharing"",""นครศรีธรรมราช!J369"")"),6576)</f>
        <v>6576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IFERROR(__xludf.DUMMYFUNCTION("IMPORTRANGE(""https://docs.google.com/spreadsheets/d/1IYY_tgx_IHuhSq3AJ5eI5OnqOPBNLWSHKh2a30DoXe8/edit?usp=sharing"",""นครศรีธรรมราช!I370"")"),0)</f>
        <v>0</v>
      </c>
      <c r="J475" s="195">
        <f ca="1">IFERROR(__xludf.DUMMYFUNCTION("IMPORTRANGE(""https://docs.google.com/spreadsheets/d/1IYY_tgx_IHuhSq3AJ5eI5OnqOPBNLWSHKh2a30DoXe8/edit?usp=sharing"",""นครศรีธรรมราช!J370"")"),48243)</f>
        <v>48243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IFERROR(__xludf.DUMMYFUNCTION("IMPORTRANGE(""https://docs.google.com/spreadsheets/d/1IYY_tgx_IHuhSq3AJ5eI5OnqOPBNLWSHKh2a30DoXe8/edit?usp=sharing"",""นครศรีธรรมราช!I371"")"),0)</f>
        <v>0</v>
      </c>
      <c r="J476" s="195">
        <f ca="1">IFERROR(__xludf.DUMMYFUNCTION("IMPORTRANGE(""https://docs.google.com/spreadsheets/d/1IYY_tgx_IHuhSq3AJ5eI5OnqOPBNLWSHKh2a30DoXe8/edit?usp=sharing"",""นครศรีธรรมราช!J371"")"),6380)</f>
        <v>6380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IFERROR(__xludf.DUMMYFUNCTION("IMPORTRANGE(""https://docs.google.com/spreadsheets/d/1IYY_tgx_IHuhSq3AJ5eI5OnqOPBNLWSHKh2a30DoXe8/edit?usp=sharing"",""นครศรีธรรมราช!I372"")"),0)</f>
        <v>0</v>
      </c>
      <c r="J477" s="195">
        <f ca="1">IFERROR(__xludf.DUMMYFUNCTION("IMPORTRANGE(""https://docs.google.com/spreadsheets/d/1IYY_tgx_IHuhSq3AJ5eI5OnqOPBNLWSHKh2a30DoXe8/edit?usp=sharing"",""นครศรีธรรมราช!J372"")"),952)</f>
        <v>952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IFERROR(__xludf.DUMMYFUNCTION("IMPORTRANGE(""https://docs.google.com/spreadsheets/d/1IYY_tgx_IHuhSq3AJ5eI5OnqOPBNLWSHKh2a30DoXe8/edit?usp=sharing"",""นครศรีธรรมราช!I373"")"),0)</f>
        <v>0</v>
      </c>
      <c r="J478" s="195">
        <f ca="1">IFERROR(__xludf.DUMMYFUNCTION("IMPORTRANGE(""https://docs.google.com/spreadsheets/d/1IYY_tgx_IHuhSq3AJ5eI5OnqOPBNLWSHKh2a30DoXe8/edit?usp=sharing"",""นครศรีธรรมราช!J373"")"),128)</f>
        <v>128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IFERROR(__xludf.DUMMYFUNCTION("IMPORTRANGE(""https://docs.google.com/spreadsheets/d/1IYY_tgx_IHuhSq3AJ5eI5OnqOPBNLWSHKh2a30DoXe8/edit?usp=sharing"",""นครศรีธรรมราช!I374"")"),0)</f>
        <v>0</v>
      </c>
      <c r="J479" s="195">
        <f ca="1">IFERROR(__xludf.DUMMYFUNCTION("IMPORTRANGE(""https://docs.google.com/spreadsheets/d/1IYY_tgx_IHuhSq3AJ5eI5OnqOPBNLWSHKh2a30DoXe8/edit?usp=sharing"",""นครศรีธรรมราช!J374"")"),643)</f>
        <v>643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IFERROR(__xludf.DUMMYFUNCTION("IMPORTRANGE(""https://docs.google.com/spreadsheets/d/1IYY_tgx_IHuhSq3AJ5eI5OnqOPBNLWSHKh2a30DoXe8/edit?usp=sharing"",""นครศรีธรรมราช!I375"")"),0)</f>
        <v>0</v>
      </c>
      <c r="J480" s="195">
        <f ca="1">IFERROR(__xludf.DUMMYFUNCTION("IMPORTRANGE(""https://docs.google.com/spreadsheets/d/1IYY_tgx_IHuhSq3AJ5eI5OnqOPBNLWSHKh2a30DoXe8/edit?usp=sharing"",""นครศรีธรรมราช!J375"")"),68)</f>
        <v>68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IFERROR(__xludf.DUMMYFUNCTION("IMPORTRANGE(""https://docs.google.com/spreadsheets/d/1IYY_tgx_IHuhSq3AJ5eI5OnqOPBNLWSHKh2a30DoXe8/edit?usp=sharing"",""นครศรีธรรมราช!I376"")"),49838)</f>
        <v>49838</v>
      </c>
      <c r="J481" s="426">
        <f ca="1">IFERROR(__xludf.DUMMYFUNCTION("IMPORTRANGE(""https://docs.google.com/spreadsheets/d/1IYY_tgx_IHuhSq3AJ5eI5OnqOPBNLWSHKh2a30DoXe8/edit?usp=sharing"",""นครศรีธรรมราช!J376"")"),0)</f>
        <v>0</v>
      </c>
      <c r="K481" s="208">
        <f t="shared" ca="1" si="117"/>
        <v>0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IFERROR(__xludf.DUMMYFUNCTION("IMPORTRANGE(""https://docs.google.com/spreadsheets/d/1IYY_tgx_IHuhSq3AJ5eI5OnqOPBNLWSHKh2a30DoXe8/edit?usp=sharing"",""นครศรีธรรมราช!I377"")"),6576)</f>
        <v>6576</v>
      </c>
      <c r="J482" s="426">
        <f ca="1">IFERROR(__xludf.DUMMYFUNCTION("IMPORTRANGE(""https://docs.google.com/spreadsheets/d/1IYY_tgx_IHuhSq3AJ5eI5OnqOPBNLWSHKh2a30DoXe8/edit?usp=sharing"",""นครศรีธรรมราช!J377"")"),0)</f>
        <v>0</v>
      </c>
      <c r="K482" s="208">
        <f t="shared" ca="1" si="117"/>
        <v>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IFERROR(__xludf.DUMMYFUNCTION("IMPORTRANGE(""https://docs.google.com/spreadsheets/d/1IYY_tgx_IHuhSq3AJ5eI5OnqOPBNLWSHKh2a30DoXe8/edit?usp=sharing"",""นครศรีธรรมราช!I378"")"),0)</f>
        <v>0</v>
      </c>
      <c r="J483" s="195">
        <f ca="1">IFERROR(__xludf.DUMMYFUNCTION("IMPORTRANGE(""https://docs.google.com/spreadsheets/d/1IYY_tgx_IHuhSq3AJ5eI5OnqOPBNLWSHKh2a30DoXe8/edit?usp=sharing"",""นครศรีธรรมราช!J378"")"),0)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IFERROR(__xludf.DUMMYFUNCTION("IMPORTRANGE(""https://docs.google.com/spreadsheets/d/1IYY_tgx_IHuhSq3AJ5eI5OnqOPBNLWSHKh2a30DoXe8/edit?usp=sharing"",""นครศรีธรรมราช!I379"")"),0)</f>
        <v>0</v>
      </c>
      <c r="J484" s="195">
        <f ca="1">IFERROR(__xludf.DUMMYFUNCTION("IMPORTRANGE(""https://docs.google.com/spreadsheets/d/1IYY_tgx_IHuhSq3AJ5eI5OnqOPBNLWSHKh2a30DoXe8/edit?usp=sharing"",""นครศรีธรรมราช!J379"")"),0)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IFERROR(__xludf.DUMMYFUNCTION("IMPORTRANGE(""https://docs.google.com/spreadsheets/d/1IYY_tgx_IHuhSq3AJ5eI5OnqOPBNLWSHKh2a30DoXe8/edit?usp=sharing"",""นครศรีธรรมราช!I380"")"),0)</f>
        <v>0</v>
      </c>
      <c r="J485" s="195">
        <f ca="1">IFERROR(__xludf.DUMMYFUNCTION("IMPORTRANGE(""https://docs.google.com/spreadsheets/d/1IYY_tgx_IHuhSq3AJ5eI5OnqOPBNLWSHKh2a30DoXe8/edit?usp=sharing"",""นครศรีธรรมราช!J380"")"),0)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IFERROR(__xludf.DUMMYFUNCTION("IMPORTRANGE(""https://docs.google.com/spreadsheets/d/1IYY_tgx_IHuhSq3AJ5eI5OnqOPBNLWSHKh2a30DoXe8/edit?usp=sharing"",""นครศรีธรรมราช!I381"")"),0)</f>
        <v>0</v>
      </c>
      <c r="J486" s="195">
        <f ca="1">IFERROR(__xludf.DUMMYFUNCTION("IMPORTRANGE(""https://docs.google.com/spreadsheets/d/1IYY_tgx_IHuhSq3AJ5eI5OnqOPBNLWSHKh2a30DoXe8/edit?usp=sharing"",""นครศรีธรรมราช!J381"")"),0)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IFERROR(__xludf.DUMMYFUNCTION("IMPORTRANGE(""https://docs.google.com/spreadsheets/d/1IYY_tgx_IHuhSq3AJ5eI5OnqOPBNLWSHKh2a30DoXe8/edit?usp=sharing"",""นครศรีธรรมราช!I382"")"),0)</f>
        <v>0</v>
      </c>
      <c r="J487" s="426">
        <f ca="1">IFERROR(__xludf.DUMMYFUNCTION("IMPORTRANGE(""https://docs.google.com/spreadsheets/d/1IYY_tgx_IHuhSq3AJ5eI5OnqOPBNLWSHKh2a30DoXe8/edit?usp=sharing"",""นครศรีธรรมราช!J382"")"),0)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IFERROR(__xludf.DUMMYFUNCTION("IMPORTRANGE(""https://docs.google.com/spreadsheets/d/1IYY_tgx_IHuhSq3AJ5eI5OnqOPBNLWSHKh2a30DoXe8/edit?usp=sharing"",""นครศรีธรรมราช!I383"")"),0)</f>
        <v>0</v>
      </c>
      <c r="J488" s="426">
        <f ca="1">IFERROR(__xludf.DUMMYFUNCTION("IMPORTRANGE(""https://docs.google.com/spreadsheets/d/1IYY_tgx_IHuhSq3AJ5eI5OnqOPBNLWSHKh2a30DoXe8/edit?usp=sharing"",""นครศรีธรรมราช!J383"")"),0)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IFERROR(__xludf.DUMMYFUNCTION("IMPORTRANGE(""https://docs.google.com/spreadsheets/d/1IYY_tgx_IHuhSq3AJ5eI5OnqOPBNLWSHKh2a30DoXe8/edit?usp=sharing"",""นครศรีธรรมราช!I384"")"),0)</f>
        <v>0</v>
      </c>
      <c r="J489" s="195">
        <f ca="1">IFERROR(__xludf.DUMMYFUNCTION("IMPORTRANGE(""https://docs.google.com/spreadsheets/d/1IYY_tgx_IHuhSq3AJ5eI5OnqOPBNLWSHKh2a30DoXe8/edit?usp=sharing"",""นครศรีธรรมราช!J384"")"),0)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IFERROR(__xludf.DUMMYFUNCTION("IMPORTRANGE(""https://docs.google.com/spreadsheets/d/1IYY_tgx_IHuhSq3AJ5eI5OnqOPBNLWSHKh2a30DoXe8/edit?usp=sharing"",""นครศรีธรรมราช!I385"")"),0)</f>
        <v>0</v>
      </c>
      <c r="J490" s="195">
        <f ca="1">IFERROR(__xludf.DUMMYFUNCTION("IMPORTRANGE(""https://docs.google.com/spreadsheets/d/1IYY_tgx_IHuhSq3AJ5eI5OnqOPBNLWSHKh2a30DoXe8/edit?usp=sharing"",""นครศรีธรรมราช!J385"")"),0)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IFERROR(__xludf.DUMMYFUNCTION("IMPORTRANGE(""https://docs.google.com/spreadsheets/d/1IYY_tgx_IHuhSq3AJ5eI5OnqOPBNLWSHKh2a30DoXe8/edit?usp=sharing"",""นครศรีธรรมราช!I386"")"),0)</f>
        <v>0</v>
      </c>
      <c r="J491" s="195">
        <f ca="1">IFERROR(__xludf.DUMMYFUNCTION("IMPORTRANGE(""https://docs.google.com/spreadsheets/d/1IYY_tgx_IHuhSq3AJ5eI5OnqOPBNLWSHKh2a30DoXe8/edit?usp=sharing"",""นครศรีธรรมราช!J386"")"),0)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IFERROR(__xludf.DUMMYFUNCTION("IMPORTRANGE(""https://docs.google.com/spreadsheets/d/1IYY_tgx_IHuhSq3AJ5eI5OnqOPBNLWSHKh2a30DoXe8/edit?usp=sharing"",""นครศรีธรรมราช!I387"")"),0)</f>
        <v>0</v>
      </c>
      <c r="J492" s="195">
        <f ca="1">IFERROR(__xludf.DUMMYFUNCTION("IMPORTRANGE(""https://docs.google.com/spreadsheets/d/1IYY_tgx_IHuhSq3AJ5eI5OnqOPBNLWSHKh2a30DoXe8/edit?usp=sharing"",""นครศรีธรรมราช!J387"")"),0)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IFERROR(__xludf.DUMMYFUNCTION("IMPORTRANGE(""https://docs.google.com/spreadsheets/d/1IYY_tgx_IHuhSq3AJ5eI5OnqOPBNLWSHKh2a30DoXe8/edit?usp=sharing"",""นครศรีธรรมราช!I388"")"),0)</f>
        <v>0</v>
      </c>
      <c r="J493" s="195">
        <f ca="1">IFERROR(__xludf.DUMMYFUNCTION("IMPORTRANGE(""https://docs.google.com/spreadsheets/d/1IYY_tgx_IHuhSq3AJ5eI5OnqOPBNLWSHKh2a30DoXe8/edit?usp=sharing"",""นครศรีธรรมราช!J388"")"),0)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IFERROR(__xludf.DUMMYFUNCTION("IMPORTRANGE(""https://docs.google.com/spreadsheets/d/1IYY_tgx_IHuhSq3AJ5eI5OnqOPBNLWSHKh2a30DoXe8/edit?usp=sharing"",""นครศรีธรรมราช!I389"")"),0)</f>
        <v>0</v>
      </c>
      <c r="J494" s="442">
        <f ca="1">IFERROR(__xludf.DUMMYFUNCTION("IMPORTRANGE(""https://docs.google.com/spreadsheets/d/1IYY_tgx_IHuhSq3AJ5eI5OnqOPBNLWSHKh2a30DoXe8/edit?usp=sharing"",""นครศรีธรรมราช!J389"")"),0)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IFERROR(__xludf.DUMMYFUNCTION("IMPORTRANGE(""https://docs.google.com/spreadsheets/d/1IYY_tgx_IHuhSq3AJ5eI5OnqOPBNLWSHKh2a30DoXe8/edit?usp=sharing"",""นครศรีธรรมราช!I390"")"),0)</f>
        <v>0</v>
      </c>
      <c r="J495" s="442">
        <f ca="1">IFERROR(__xludf.DUMMYFUNCTION("IMPORTRANGE(""https://docs.google.com/spreadsheets/d/1IYY_tgx_IHuhSq3AJ5eI5OnqOPBNLWSHKh2a30DoXe8/edit?usp=sharing"",""นครศรีธรรมราช!J390"")"),0)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IFERROR(__xludf.DUMMYFUNCTION("IMPORTRANGE(""https://docs.google.com/spreadsheets/d/1IYY_tgx_IHuhSq3AJ5eI5OnqOPBNLWSHKh2a30DoXe8/edit?usp=sharing"",""นครศรีธรรมราช!I391"")"),0)</f>
        <v>0</v>
      </c>
      <c r="J496" s="442">
        <f ca="1">IFERROR(__xludf.DUMMYFUNCTION("IMPORTRANGE(""https://docs.google.com/spreadsheets/d/1IYY_tgx_IHuhSq3AJ5eI5OnqOPBNLWSHKh2a30DoXe8/edit?usp=sharing"",""นครศรีธรรมราช!J391"")"),0)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IFERROR(__xludf.DUMMYFUNCTION("IMPORTRANGE(""https://docs.google.com/spreadsheets/d/1IYY_tgx_IHuhSq3AJ5eI5OnqOPBNLWSHKh2a30DoXe8/edit?usp=sharing"",""นครศรีธรรมราช!I392"")"),0)</f>
        <v>0</v>
      </c>
      <c r="J497" s="449">
        <f ca="1">IFERROR(__xludf.DUMMYFUNCTION("IMPORTRANGE(""https://docs.google.com/spreadsheets/d/1IYY_tgx_IHuhSq3AJ5eI5OnqOPBNLWSHKh2a30DoXe8/edit?usp=sharing"",""นครศรีธรรมราช!J392"")"),0)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IFERROR(__xludf.DUMMYFUNCTION("IMPORTRANGE(""https://docs.google.com/spreadsheets/d/1IYY_tgx_IHuhSq3AJ5eI5OnqOPBNLWSHKh2a30DoXe8/edit?usp=sharing"",""นครศรีธรรมราช!I393"")"),0)</f>
        <v>0</v>
      </c>
      <c r="J498" s="426">
        <f ca="1">IFERROR(__xludf.DUMMYFUNCTION("IMPORTRANGE(""https://docs.google.com/spreadsheets/d/1IYY_tgx_IHuhSq3AJ5eI5OnqOPBNLWSHKh2a30DoXe8/edit?usp=sharing"",""นครศรีธรรมราช!J393"")"),0)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IFERROR(__xludf.DUMMYFUNCTION("IMPORTRANGE(""https://docs.google.com/spreadsheets/d/1IYY_tgx_IHuhSq3AJ5eI5OnqOPBNLWSHKh2a30DoXe8/edit?usp=sharing"",""นครศรีธรรมราช!I394"")"),0)</f>
        <v>0</v>
      </c>
      <c r="J499" s="426">
        <f ca="1">IFERROR(__xludf.DUMMYFUNCTION("IMPORTRANGE(""https://docs.google.com/spreadsheets/d/1IYY_tgx_IHuhSq3AJ5eI5OnqOPBNLWSHKh2a30DoXe8/edit?usp=sharing"",""นครศรีธรรมราช!J394"")"),0)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IFERROR(__xludf.DUMMYFUNCTION("IMPORTRANGE(""https://docs.google.com/spreadsheets/d/1IYY_tgx_IHuhSq3AJ5eI5OnqOPBNLWSHKh2a30DoXe8/edit?usp=sharing"",""นครศรีธรรมราช!I395"")"),0)</f>
        <v>0</v>
      </c>
      <c r="J500" s="166">
        <f ca="1">IFERROR(__xludf.DUMMYFUNCTION("IMPORTRANGE(""https://docs.google.com/spreadsheets/d/1IYY_tgx_IHuhSq3AJ5eI5OnqOPBNLWSHKh2a30DoXe8/edit?usp=sharing"",""นครศรีธรรมราช!J395"")"),0)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IFERROR(__xludf.DUMMYFUNCTION("IMPORTRANGE(""https://docs.google.com/spreadsheets/d/1IYY_tgx_IHuhSq3AJ5eI5OnqOPBNLWSHKh2a30DoXe8/edit?usp=sharing"",""นครศรีธรรมราช!I396"")"),0)</f>
        <v>0</v>
      </c>
      <c r="J501" s="166">
        <f ca="1">IFERROR(__xludf.DUMMYFUNCTION("IMPORTRANGE(""https://docs.google.com/spreadsheets/d/1IYY_tgx_IHuhSq3AJ5eI5OnqOPBNLWSHKh2a30DoXe8/edit?usp=sharing"",""นครศรีธรรมราช!J396"")"),0)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IFERROR(__xludf.DUMMYFUNCTION("IMPORTRANGE(""https://docs.google.com/spreadsheets/d/1IYY_tgx_IHuhSq3AJ5eI5OnqOPBNLWSHKh2a30DoXe8/edit?usp=sharing"",""นครศรีธรรมราช!I397"")"),0)</f>
        <v>0</v>
      </c>
      <c r="J502" s="195">
        <f ca="1">IFERROR(__xludf.DUMMYFUNCTION("IMPORTRANGE(""https://docs.google.com/spreadsheets/d/1IYY_tgx_IHuhSq3AJ5eI5OnqOPBNLWSHKh2a30DoXe8/edit?usp=sharing"",""นครศรีธรรมราช!J397"")"),0)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IFERROR(__xludf.DUMMYFUNCTION("IMPORTRANGE(""https://docs.google.com/spreadsheets/d/1IYY_tgx_IHuhSq3AJ5eI5OnqOPBNLWSHKh2a30DoXe8/edit?usp=sharing"",""นครศรีธรรมราช!I398"")"),0)</f>
        <v>0</v>
      </c>
      <c r="J503" s="204">
        <f ca="1">IFERROR(__xludf.DUMMYFUNCTION("IMPORTRANGE(""https://docs.google.com/spreadsheets/d/1IYY_tgx_IHuhSq3AJ5eI5OnqOPBNLWSHKh2a30DoXe8/edit?usp=sharing"",""นครศรีธรรมราช!J398"")"),0)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IFERROR(__xludf.DUMMYFUNCTION("IMPORTRANGE(""https://docs.google.com/spreadsheets/d/1IYY_tgx_IHuhSq3AJ5eI5OnqOPBNLWSHKh2a30DoXe8/edit?usp=sharing"",""นครศรีธรรมราช!I399"")"),0)</f>
        <v>0</v>
      </c>
      <c r="J504" s="195">
        <f ca="1">IFERROR(__xludf.DUMMYFUNCTION("IMPORTRANGE(""https://docs.google.com/spreadsheets/d/1IYY_tgx_IHuhSq3AJ5eI5OnqOPBNLWSHKh2a30DoXe8/edit?usp=sharing"",""นครศรีธรรมราช!J399"")"),0)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IFERROR(__xludf.DUMMYFUNCTION("IMPORTRANGE(""https://docs.google.com/spreadsheets/d/1IYY_tgx_IHuhSq3AJ5eI5OnqOPBNLWSHKh2a30DoXe8/edit?usp=sharing"",""นครศรีธรรมราช!I400"")"),0)</f>
        <v>0</v>
      </c>
      <c r="J505" s="204">
        <f ca="1">IFERROR(__xludf.DUMMYFUNCTION("IMPORTRANGE(""https://docs.google.com/spreadsheets/d/1IYY_tgx_IHuhSq3AJ5eI5OnqOPBNLWSHKh2a30DoXe8/edit?usp=sharing"",""นครศรีธรรมราช!J400"")"),0)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IFERROR(__xludf.DUMMYFUNCTION("IMPORTRANGE(""https://docs.google.com/spreadsheets/d/1IYY_tgx_IHuhSq3AJ5eI5OnqOPBNLWSHKh2a30DoXe8/edit?usp=sharing"",""นครศรีธรรมราช!I401"")"),0)</f>
        <v>0</v>
      </c>
      <c r="J506" s="195">
        <f ca="1">IFERROR(__xludf.DUMMYFUNCTION("IMPORTRANGE(""https://docs.google.com/spreadsheets/d/1IYY_tgx_IHuhSq3AJ5eI5OnqOPBNLWSHKh2a30DoXe8/edit?usp=sharing"",""นครศรีธรรมราช!J401"")"),0)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IFERROR(__xludf.DUMMYFUNCTION("IMPORTRANGE(""https://docs.google.com/spreadsheets/d/1IYY_tgx_IHuhSq3AJ5eI5OnqOPBNLWSHKh2a30DoXe8/edit?usp=sharing"",""นครศรีธรรมราช!I402"")"),0)</f>
        <v>0</v>
      </c>
      <c r="J507" s="204">
        <f ca="1">IFERROR(__xludf.DUMMYFUNCTION("IMPORTRANGE(""https://docs.google.com/spreadsheets/d/1IYY_tgx_IHuhSq3AJ5eI5OnqOPBNLWSHKh2a30DoXe8/edit?usp=sharing"",""นครศรีธรรมราช!J402"")"),0)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IFERROR(__xludf.DUMMYFUNCTION("IMPORTRANGE(""https://docs.google.com/spreadsheets/d/1IYY_tgx_IHuhSq3AJ5eI5OnqOPBNLWSHKh2a30DoXe8/edit?usp=sharing"",""นครศรีธรรมราช!I403"")"),0)</f>
        <v>0</v>
      </c>
      <c r="J508" s="166">
        <f ca="1">IFERROR(__xludf.DUMMYFUNCTION("IMPORTRANGE(""https://docs.google.com/spreadsheets/d/1IYY_tgx_IHuhSq3AJ5eI5OnqOPBNLWSHKh2a30DoXe8/edit?usp=sharing"",""นครศรีธรรมราช!J403"")"),0)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IFERROR(__xludf.DUMMYFUNCTION("IMPORTRANGE(""https://docs.google.com/spreadsheets/d/1IYY_tgx_IHuhSq3AJ5eI5OnqOPBNLWSHKh2a30DoXe8/edit?usp=sharing"",""นครศรีธรรมราช!I404"")"),0)</f>
        <v>0</v>
      </c>
      <c r="J509" s="166">
        <f ca="1">IFERROR(__xludf.DUMMYFUNCTION("IMPORTRANGE(""https://docs.google.com/spreadsheets/d/1IYY_tgx_IHuhSq3AJ5eI5OnqOPBNLWSHKh2a30DoXe8/edit?usp=sharing"",""นครศรีธรรมราช!J404"")"),0)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IFERROR(__xludf.DUMMYFUNCTION("IMPORTRANGE(""https://docs.google.com/spreadsheets/d/1IYY_tgx_IHuhSq3AJ5eI5OnqOPBNLWSHKh2a30DoXe8/edit?usp=sharing"",""นครศรีธรรมราช!I405"")"),0)</f>
        <v>0</v>
      </c>
      <c r="J510" s="204">
        <f ca="1">IFERROR(__xludf.DUMMYFUNCTION("IMPORTRANGE(""https://docs.google.com/spreadsheets/d/1IYY_tgx_IHuhSq3AJ5eI5OnqOPBNLWSHKh2a30DoXe8/edit?usp=sharing"",""นครศรีธรรมราช!J405"")"),0)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IFERROR(__xludf.DUMMYFUNCTION("IMPORTRANGE(""https://docs.google.com/spreadsheets/d/1IYY_tgx_IHuhSq3AJ5eI5OnqOPBNLWSHKh2a30DoXe8/edit?usp=sharing"",""นครศรีธรรมราช!I406"")"),0)</f>
        <v>0</v>
      </c>
      <c r="J511" s="204">
        <f ca="1">IFERROR(__xludf.DUMMYFUNCTION("IMPORTRANGE(""https://docs.google.com/spreadsheets/d/1IYY_tgx_IHuhSq3AJ5eI5OnqOPBNLWSHKh2a30DoXe8/edit?usp=sharing"",""นครศรีธรรมราช!J406"")"),0)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IFERROR(__xludf.DUMMYFUNCTION("IMPORTRANGE(""https://docs.google.com/spreadsheets/d/1IYY_tgx_IHuhSq3AJ5eI5OnqOPBNLWSHKh2a30DoXe8/edit?usp=sharing"",""นครศรีธรรมราช!I407"")"),0)</f>
        <v>0</v>
      </c>
      <c r="J512" s="204">
        <f ca="1">IFERROR(__xludf.DUMMYFUNCTION("IMPORTRANGE(""https://docs.google.com/spreadsheets/d/1IYY_tgx_IHuhSq3AJ5eI5OnqOPBNLWSHKh2a30DoXe8/edit?usp=sharing"",""นครศรีธรรมราช!J407"")"),0)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IFERROR(__xludf.DUMMYFUNCTION("IMPORTRANGE(""https://docs.google.com/spreadsheets/d/1IYY_tgx_IHuhSq3AJ5eI5OnqOPBNLWSHKh2a30DoXe8/edit?usp=sharing"",""นครศรีธรรมราช!I408"")"),0)</f>
        <v>0</v>
      </c>
      <c r="J513" s="204">
        <f ca="1">IFERROR(__xludf.DUMMYFUNCTION("IMPORTRANGE(""https://docs.google.com/spreadsheets/d/1IYY_tgx_IHuhSq3AJ5eI5OnqOPBNLWSHKh2a30DoXe8/edit?usp=sharing"",""นครศรีธรรมราช!J408"")"),0)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IFERROR(__xludf.DUMMYFUNCTION("IMPORTRANGE(""https://docs.google.com/spreadsheets/d/1IYY_tgx_IHuhSq3AJ5eI5OnqOPBNLWSHKh2a30DoXe8/edit?usp=sharing"",""นครศรีธรรมราช!I409"")"),0)</f>
        <v>0</v>
      </c>
      <c r="J514" s="204">
        <f ca="1">IFERROR(__xludf.DUMMYFUNCTION("IMPORTRANGE(""https://docs.google.com/spreadsheets/d/1IYY_tgx_IHuhSq3AJ5eI5OnqOPBNLWSHKh2a30DoXe8/edit?usp=sharing"",""นครศรีธรรมราช!J409"")"),0)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IFERROR(__xludf.DUMMYFUNCTION("IMPORTRANGE(""https://docs.google.com/spreadsheets/d/1IYY_tgx_IHuhSq3AJ5eI5OnqOPBNLWSHKh2a30DoXe8/edit?usp=sharing"",""นครศรีธรรมราช!I410"")"),0)</f>
        <v>0</v>
      </c>
      <c r="J515" s="204">
        <f ca="1">IFERROR(__xludf.DUMMYFUNCTION("IMPORTRANGE(""https://docs.google.com/spreadsheets/d/1IYY_tgx_IHuhSq3AJ5eI5OnqOPBNLWSHKh2a30DoXe8/edit?usp=sharing"",""นครศรีธรรมราช!J410"")"),0)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IFERROR(__xludf.DUMMYFUNCTION("IMPORTRANGE(""https://docs.google.com/spreadsheets/d/1IYY_tgx_IHuhSq3AJ5eI5OnqOPBNLWSHKh2a30DoXe8/edit?usp=sharing"",""นครศรีธรรมราช!I411"")"),0)</f>
        <v>0</v>
      </c>
      <c r="J516" s="273">
        <f ca="1">IFERROR(__xludf.DUMMYFUNCTION("IMPORTRANGE(""https://docs.google.com/spreadsheets/d/1IYY_tgx_IHuhSq3AJ5eI5OnqOPBNLWSHKh2a30DoXe8/edit?usp=sharing"",""นครศรีธรรมราช!J411"")"),0)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IFERROR(__xludf.DUMMYFUNCTION("IMPORTRANGE(""https://docs.google.com/spreadsheets/d/1IYY_tgx_IHuhSq3AJ5eI5OnqOPBNLWSHKh2a30DoXe8/edit?usp=sharing"",""นครศรีธรรมราช!I412"")"),0)</f>
        <v>0</v>
      </c>
      <c r="J517" s="290">
        <f ca="1">IFERROR(__xludf.DUMMYFUNCTION("IMPORTRANGE(""https://docs.google.com/spreadsheets/d/1IYY_tgx_IHuhSq3AJ5eI5OnqOPBNLWSHKh2a30DoXe8/edit?usp=sharing"",""นครศรีธรรมราช!J412"")"),0)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IFERROR(__xludf.DUMMYFUNCTION("IMPORTRANGE(""https://docs.google.com/spreadsheets/d/1IYY_tgx_IHuhSq3AJ5eI5OnqOPBNLWSHKh2a30DoXe8/edit?usp=sharing"",""นครศรีธรรมราช!I413"")"),0)</f>
        <v>0</v>
      </c>
      <c r="J518" s="290">
        <f ca="1">IFERROR(__xludf.DUMMYFUNCTION("IMPORTRANGE(""https://docs.google.com/spreadsheets/d/1IYY_tgx_IHuhSq3AJ5eI5OnqOPBNLWSHKh2a30DoXe8/edit?usp=sharing"",""นครศรีธรรมราช!J413"")"),0)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IFERROR(__xludf.DUMMYFUNCTION("IMPORTRANGE(""https://docs.google.com/spreadsheets/d/1IYY_tgx_IHuhSq3AJ5eI5OnqOPBNLWSHKh2a30DoXe8/edit?usp=sharing"",""นครศรีธรรมราช!I414"")"),0)</f>
        <v>0</v>
      </c>
      <c r="J519" s="194">
        <f ca="1">IFERROR(__xludf.DUMMYFUNCTION("IMPORTRANGE(""https://docs.google.com/spreadsheets/d/1IYY_tgx_IHuhSq3AJ5eI5OnqOPBNLWSHKh2a30DoXe8/edit?usp=sharing"",""นครศรีธรรมราช!J414"")"),0)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IFERROR(__xludf.DUMMYFUNCTION("IMPORTRANGE(""https://docs.google.com/spreadsheets/d/1IYY_tgx_IHuhSq3AJ5eI5OnqOPBNLWSHKh2a30DoXe8/edit?usp=sharing"",""นครศรีธรรมราช!I415"")"),0)</f>
        <v>0</v>
      </c>
      <c r="J520" s="194">
        <f ca="1">IFERROR(__xludf.DUMMYFUNCTION("IMPORTRANGE(""https://docs.google.com/spreadsheets/d/1IYY_tgx_IHuhSq3AJ5eI5OnqOPBNLWSHKh2a30DoXe8/edit?usp=sharing"",""นครศรีธรรมราช!J415"")"),0)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IFERROR(__xludf.DUMMYFUNCTION("IMPORTRANGE(""https://docs.google.com/spreadsheets/d/1IYY_tgx_IHuhSq3AJ5eI5OnqOPBNLWSHKh2a30DoXe8/edit?usp=sharing"",""นครศรีธรรมราช!I416"")"),0)</f>
        <v>0</v>
      </c>
      <c r="J521" s="194">
        <f ca="1">IFERROR(__xludf.DUMMYFUNCTION("IMPORTRANGE(""https://docs.google.com/spreadsheets/d/1IYY_tgx_IHuhSq3AJ5eI5OnqOPBNLWSHKh2a30DoXe8/edit?usp=sharing"",""นครศรีธรรมราช!J416"")"),0)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IFERROR(__xludf.DUMMYFUNCTION("IMPORTRANGE(""https://docs.google.com/spreadsheets/d/1IYY_tgx_IHuhSq3AJ5eI5OnqOPBNLWSHKh2a30DoXe8/edit?usp=sharing"",""นครศรีธรรมราช!I417"")"),0)</f>
        <v>0</v>
      </c>
      <c r="J522" s="194">
        <f ca="1">IFERROR(__xludf.DUMMYFUNCTION("IMPORTRANGE(""https://docs.google.com/spreadsheets/d/1IYY_tgx_IHuhSq3AJ5eI5OnqOPBNLWSHKh2a30DoXe8/edit?usp=sharing"",""นครศรีธรรมราช!J417"")"),0)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IFERROR(__xludf.DUMMYFUNCTION("IMPORTRANGE(""https://docs.google.com/spreadsheets/d/1IYY_tgx_IHuhSq3AJ5eI5OnqOPBNLWSHKh2a30DoXe8/edit?usp=sharing"",""นครศรีธรรมราช!I418"")"),0)</f>
        <v>0</v>
      </c>
      <c r="J523" s="194">
        <f ca="1">IFERROR(__xludf.DUMMYFUNCTION("IMPORTRANGE(""https://docs.google.com/spreadsheets/d/1IYY_tgx_IHuhSq3AJ5eI5OnqOPBNLWSHKh2a30DoXe8/edit?usp=sharing"",""นครศรีธรรมราช!J418"")"),0)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IFERROR(__xludf.DUMMYFUNCTION("IMPORTRANGE(""https://docs.google.com/spreadsheets/d/1IYY_tgx_IHuhSq3AJ5eI5OnqOPBNLWSHKh2a30DoXe8/edit?usp=sharing"",""นครศรีธรรมราช!I419"")"),0)</f>
        <v>0</v>
      </c>
      <c r="J524" s="194">
        <f ca="1">IFERROR(__xludf.DUMMYFUNCTION("IMPORTRANGE(""https://docs.google.com/spreadsheets/d/1IYY_tgx_IHuhSq3AJ5eI5OnqOPBNLWSHKh2a30DoXe8/edit?usp=sharing"",""นครศรีธรรมราช!J419"")"),0)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IFERROR(__xludf.DUMMYFUNCTION("IMPORTRANGE(""https://docs.google.com/spreadsheets/d/1IYY_tgx_IHuhSq3AJ5eI5OnqOPBNLWSHKh2a30DoXe8/edit?usp=sharing"",""นครศรีธรรมราช!I420"")"),0)</f>
        <v>0</v>
      </c>
      <c r="J525" s="290">
        <f ca="1">IFERROR(__xludf.DUMMYFUNCTION("IMPORTRANGE(""https://docs.google.com/spreadsheets/d/1IYY_tgx_IHuhSq3AJ5eI5OnqOPBNLWSHKh2a30DoXe8/edit?usp=sharing"",""นครศรีธรรมราช!J420"")"),0)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IFERROR(__xludf.DUMMYFUNCTION("IMPORTRANGE(""https://docs.google.com/spreadsheets/d/1IYY_tgx_IHuhSq3AJ5eI5OnqOPBNLWSHKh2a30DoXe8/edit?usp=sharing"",""นครศรีธรรมราช!I421"")"),0)</f>
        <v>0</v>
      </c>
      <c r="J526" s="290">
        <f ca="1">IFERROR(__xludf.DUMMYFUNCTION("IMPORTRANGE(""https://docs.google.com/spreadsheets/d/1IYY_tgx_IHuhSq3AJ5eI5OnqOPBNLWSHKh2a30DoXe8/edit?usp=sharing"",""นครศรีธรรมราช!J421"")"),0)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IFERROR(__xludf.DUMMYFUNCTION("IMPORTRANGE(""https://docs.google.com/spreadsheets/d/1IYY_tgx_IHuhSq3AJ5eI5OnqOPBNLWSHKh2a30DoXe8/edit?usp=sharing"",""นครศรีธรรมราช!I422"")"),0)</f>
        <v>0</v>
      </c>
      <c r="J527" s="204">
        <f ca="1">IFERROR(__xludf.DUMMYFUNCTION("IMPORTRANGE(""https://docs.google.com/spreadsheets/d/1IYY_tgx_IHuhSq3AJ5eI5OnqOPBNLWSHKh2a30DoXe8/edit?usp=sharing"",""นครศรีธรรมราช!J422"")"),0)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IFERROR(__xludf.DUMMYFUNCTION("IMPORTRANGE(""https://docs.google.com/spreadsheets/d/1IYY_tgx_IHuhSq3AJ5eI5OnqOPBNLWSHKh2a30DoXe8/edit?usp=sharing"",""นครศรีธรรมราช!I423"")"),0)</f>
        <v>0</v>
      </c>
      <c r="J528" s="204">
        <f ca="1">IFERROR(__xludf.DUMMYFUNCTION("IMPORTRANGE(""https://docs.google.com/spreadsheets/d/1IYY_tgx_IHuhSq3AJ5eI5OnqOPBNLWSHKh2a30DoXe8/edit?usp=sharing"",""นครศรีธรรมราช!J423"")"),0)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IFERROR(__xludf.DUMMYFUNCTION("IMPORTRANGE(""https://docs.google.com/spreadsheets/d/1IYY_tgx_IHuhSq3AJ5eI5OnqOPBNLWSHKh2a30DoXe8/edit?usp=sharing"",""นครศรีธรรมราช!I424"")"),0)</f>
        <v>0</v>
      </c>
      <c r="J529" s="204">
        <f ca="1">IFERROR(__xludf.DUMMYFUNCTION("IMPORTRANGE(""https://docs.google.com/spreadsheets/d/1IYY_tgx_IHuhSq3AJ5eI5OnqOPBNLWSHKh2a30DoXe8/edit?usp=sharing"",""นครศรีธรรมราช!J424"")"),0)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IFERROR(__xludf.DUMMYFUNCTION("IMPORTRANGE(""https://docs.google.com/spreadsheets/d/1IYY_tgx_IHuhSq3AJ5eI5OnqOPBNLWSHKh2a30DoXe8/edit?usp=sharing"",""นครศรีธรรมราช!I425"")"),0)</f>
        <v>0</v>
      </c>
      <c r="J530" s="204">
        <f ca="1">IFERROR(__xludf.DUMMYFUNCTION("IMPORTRANGE(""https://docs.google.com/spreadsheets/d/1IYY_tgx_IHuhSq3AJ5eI5OnqOPBNLWSHKh2a30DoXe8/edit?usp=sharing"",""นครศรีธรรมราช!J425"")"),0)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IFERROR(__xludf.DUMMYFUNCTION("IMPORTRANGE(""https://docs.google.com/spreadsheets/d/1IYY_tgx_IHuhSq3AJ5eI5OnqOPBNLWSHKh2a30DoXe8/edit?usp=sharing"",""นครศรีธรรมราช!I426"")"),0)</f>
        <v>0</v>
      </c>
      <c r="J531" s="204">
        <f ca="1">IFERROR(__xludf.DUMMYFUNCTION("IMPORTRANGE(""https://docs.google.com/spreadsheets/d/1IYY_tgx_IHuhSq3AJ5eI5OnqOPBNLWSHKh2a30DoXe8/edit?usp=sharing"",""นครศรีธรรมราช!J426"")"),0)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IFERROR(__xludf.DUMMYFUNCTION("IMPORTRANGE(""https://docs.google.com/spreadsheets/d/1IYY_tgx_IHuhSq3AJ5eI5OnqOPBNLWSHKh2a30DoXe8/edit?usp=sharing"",""นครศรีธรรมราช!I427"")"),0)</f>
        <v>0</v>
      </c>
      <c r="J532" s="472">
        <f ca="1">IFERROR(__xludf.DUMMYFUNCTION("IMPORTRANGE(""https://docs.google.com/spreadsheets/d/1IYY_tgx_IHuhSq3AJ5eI5OnqOPBNLWSHKh2a30DoXe8/edit?usp=sharing"",""นครศรีธรรมราช!J427"")"),0)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IFERROR(__xludf.DUMMYFUNCTION("IMPORTRANGE(""https://docs.google.com/spreadsheets/d/1IYY_tgx_IHuhSq3AJ5eI5OnqOPBNLWSHKh2a30DoXe8/edit?usp=sharing"",""นครศรีธรรมราช!I428"")"),26)</f>
        <v>26</v>
      </c>
      <c r="J533" s="416">
        <f ca="1">IFERROR(__xludf.DUMMYFUNCTION("IMPORTRANGE(""https://docs.google.com/spreadsheets/d/1IYY_tgx_IHuhSq3AJ5eI5OnqOPBNLWSHKh2a30DoXe8/edit?usp=sharing"",""นครศรีธรรมราช!J428"")"),26)</f>
        <v>26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IFERROR(__xludf.DUMMYFUNCTION("IMPORTRANGE(""https://docs.google.com/spreadsheets/d/1IYY_tgx_IHuhSq3AJ5eI5OnqOPBNLWSHKh2a30DoXe8/edit?usp=sharing"",""นครศรีธรรมราช!L428"")"),37740)</f>
        <v>37740</v>
      </c>
      <c r="M533" s="418"/>
      <c r="N533" s="418">
        <f ca="1">IFERROR(__xludf.DUMMYFUNCTION("IMPORTRANGE(""https://docs.google.com/spreadsheets/d/1IYY_tgx_IHuhSq3AJ5eI5OnqOPBNLWSHKh2a30DoXe8/edit?usp=sharing"",""นครศรีธรรมราช!M428"")"),34639)</f>
        <v>34639</v>
      </c>
      <c r="O533" s="418">
        <f t="shared" ref="O533:O537" ca="1" si="118">+IF(L533&gt;0,N533*100/L533,0)</f>
        <v>91.783253842077372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IFERROR(__xludf.DUMMYFUNCTION("IMPORTRANGE(""https://docs.google.com/spreadsheets/d/1IYY_tgx_IHuhSq3AJ5eI5OnqOPBNLWSHKh2a30DoXe8/edit?usp=sharing"",""นครศรีธรรมราช!L429"")"),0)</f>
        <v>0</v>
      </c>
      <c r="M534" s="168"/>
      <c r="N534" s="175">
        <f ca="1">IFERROR(__xludf.DUMMYFUNCTION("IMPORTRANGE(""https://docs.google.com/spreadsheets/d/1IYY_tgx_IHuhSq3AJ5eI5OnqOPBNLWSHKh2a30DoXe8/edit?usp=sharing"",""นครศรีธรรมราช!M429"")"),0)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IFERROR(__xludf.DUMMYFUNCTION("IMPORTRANGE(""https://docs.google.com/spreadsheets/d/1IYY_tgx_IHuhSq3AJ5eI5OnqOPBNLWSHKh2a30DoXe8/edit?usp=sharing"",""นครศรีธรรมราช!L430"")"),37740)</f>
        <v>37740</v>
      </c>
      <c r="M535" s="169"/>
      <c r="N535" s="175">
        <f ca="1">IFERROR(__xludf.DUMMYFUNCTION("IMPORTRANGE(""https://docs.google.com/spreadsheets/d/1IYY_tgx_IHuhSq3AJ5eI5OnqOPBNLWSHKh2a30DoXe8/edit?usp=sharing"",""นครศรีธรรมราช!M430"")"),34639)</f>
        <v>34639</v>
      </c>
      <c r="O535" s="175">
        <f t="shared" ca="1" si="118"/>
        <v>91.783253842077372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IFERROR(__xludf.DUMMYFUNCTION("IMPORTRANGE(""https://docs.google.com/spreadsheets/d/1IYY_tgx_IHuhSq3AJ5eI5OnqOPBNLWSHKh2a30DoXe8/edit?usp=sharing"",""นครศรีธรรมราช!L431"")"),0)</f>
        <v>0</v>
      </c>
      <c r="M536" s="175"/>
      <c r="N536" s="175">
        <f ca="1">IFERROR(__xludf.DUMMYFUNCTION("IMPORTRANGE(""https://docs.google.com/spreadsheets/d/1IYY_tgx_IHuhSq3AJ5eI5OnqOPBNLWSHKh2a30DoXe8/edit?usp=sharing"",""นครศรีธรรมราช!M431"")"),0)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IFERROR(__xludf.DUMMYFUNCTION("IMPORTRANGE(""https://docs.google.com/spreadsheets/d/1IYY_tgx_IHuhSq3AJ5eI5OnqOPBNLWSHKh2a30DoXe8/edit?usp=sharing"",""นครศรีธรรมราช!L432"")"),37740)</f>
        <v>37740</v>
      </c>
      <c r="M537" s="175"/>
      <c r="N537" s="175">
        <f ca="1">IFERROR(__xludf.DUMMYFUNCTION("IMPORTRANGE(""https://docs.google.com/spreadsheets/d/1IYY_tgx_IHuhSq3AJ5eI5OnqOPBNLWSHKh2a30DoXe8/edit?usp=sharing"",""นครศรีธรรมราช!M432"")"),34639)</f>
        <v>34639</v>
      </c>
      <c r="O537" s="175">
        <f t="shared" ca="1" si="118"/>
        <v>91.783253842077372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IFERROR(__xludf.DUMMYFUNCTION("IMPORTRANGE(""https://docs.google.com/spreadsheets/d/1IYY_tgx_IHuhSq3AJ5eI5OnqOPBNLWSHKh2a30DoXe8/edit?usp=sharing"",""นครศรีธรรมราช!M433"")"),21900)</f>
        <v>21900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IFERROR(__xludf.DUMMYFUNCTION("IMPORTRANGE(""https://docs.google.com/spreadsheets/d/1IYY_tgx_IHuhSq3AJ5eI5OnqOPBNLWSHKh2a30DoXe8/edit?usp=sharing"",""นครศรีธรรมราช!M434"")"),0)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IFERROR(__xludf.DUMMYFUNCTION("IMPORTRANGE(""https://docs.google.com/spreadsheets/d/1IYY_tgx_IHuhSq3AJ5eI5OnqOPBNLWSHKh2a30DoXe8/edit?usp=sharing"",""นครศรีธรรมราช!M435"")"),0)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IFERROR(__xludf.DUMMYFUNCTION("IMPORTRANGE(""https://docs.google.com/spreadsheets/d/1IYY_tgx_IHuhSq3AJ5eI5OnqOPBNLWSHKh2a30DoXe8/edit?usp=sharing"",""นครศรีธรรมราช!M436"")"),12739)</f>
        <v>12739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IFERROR(__xludf.DUMMYFUNCTION("IMPORTRANGE(""https://docs.google.com/spreadsheets/d/1IYY_tgx_IHuhSq3AJ5eI5OnqOPBNLWSHKh2a30DoXe8/edit?usp=sharing"",""นครศรีธรรมราช!J438"")"),0)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IFERROR(__xludf.DUMMYFUNCTION("IMPORTRANGE(""https://docs.google.com/spreadsheets/d/1IYY_tgx_IHuhSq3AJ5eI5OnqOPBNLWSHKh2a30DoXe8/edit?usp=sharing"",""นครศรีธรรมราช!J439"")"),1)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IFERROR(__xludf.DUMMYFUNCTION("IMPORTRANGE(""https://docs.google.com/spreadsheets/d/1IYY_tgx_IHuhSq3AJ5eI5OnqOPBNLWSHKh2a30DoXe8/edit?usp=sharing"",""นครศรีธรรมราช!J440"")"),1)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IFERROR(__xludf.DUMMYFUNCTION("IMPORTRANGE(""https://docs.google.com/spreadsheets/d/1IYY_tgx_IHuhSq3AJ5eI5OnqOPBNLWSHKh2a30DoXe8/edit?usp=sharing"",""นครศรีธรรมราช!J441"")"),1)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IFERROR(__xludf.DUMMYFUNCTION("IMPORTRANGE(""https://docs.google.com/spreadsheets/d/1IYY_tgx_IHuhSq3AJ5eI5OnqOPBNLWSHKh2a30DoXe8/edit?usp=sharing"",""นครศรีธรรมราช!I442"")"),26)</f>
        <v>26</v>
      </c>
      <c r="J547" s="195">
        <f ca="1">IFERROR(__xludf.DUMMYFUNCTION("IMPORTRANGE(""https://docs.google.com/spreadsheets/d/1IYY_tgx_IHuhSq3AJ5eI5OnqOPBNLWSHKh2a30DoXe8/edit?usp=sharing"",""นครศรีธรรมราช!J442"")"),26)</f>
        <v>26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IFERROR(__xludf.DUMMYFUNCTION("IMPORTRANGE(""https://docs.google.com/spreadsheets/d/1IYY_tgx_IHuhSq3AJ5eI5OnqOPBNLWSHKh2a30DoXe8/edit?usp=sharing"",""นครศรีธรรมราช!J166"")"),0)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IFERROR(__xludf.DUMMYFUNCTION("IMPORTRANGE(""https://docs.google.com/spreadsheets/d/1IYY_tgx_IHuhSq3AJ5eI5OnqOPBNLWSHKh2a30DoXe8/edit?usp=sharing"",""นครศรีธรรมราช!J444"")"),0)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IFERROR(__xludf.DUMMYFUNCTION("IMPORTRANGE(""https://docs.google.com/spreadsheets/d/1IYY_tgx_IHuhSq3AJ5eI5OnqOPBNLWSHKh2a30DoXe8/edit?usp=sharing"",""นครศรีธรรมราช!J445"")"),0)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IFERROR(__xludf.DUMMYFUNCTION("IMPORTRANGE(""https://docs.google.com/spreadsheets/d/1IYY_tgx_IHuhSq3AJ5eI5OnqOPBNLWSHKh2a30DoXe8/edit?usp=sharing"",""นครศรีธรรมราช!I446"")"),0)</f>
        <v>0</v>
      </c>
      <c r="J551" s="416">
        <f ca="1">IFERROR(__xludf.DUMMYFUNCTION("IMPORTRANGE(""https://docs.google.com/spreadsheets/d/1IYY_tgx_IHuhSq3AJ5eI5OnqOPBNLWSHKh2a30DoXe8/edit?usp=sharing"",""นครศรีธรรมราช!J446"")"),0)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IFERROR(__xludf.DUMMYFUNCTION("IMPORTRANGE(""https://docs.google.com/spreadsheets/d/1IYY_tgx_IHuhSq3AJ5eI5OnqOPBNLWSHKh2a30DoXe8/edit?usp=sharing"",""นครศรีธรรมราช!L446"")"),0)</f>
        <v>0</v>
      </c>
      <c r="M551" s="418"/>
      <c r="N551" s="418">
        <f ca="1">IFERROR(__xludf.DUMMYFUNCTION("IMPORTRANGE(""https://docs.google.com/spreadsheets/d/1IYY_tgx_IHuhSq3AJ5eI5OnqOPBNLWSHKh2a30DoXe8/edit?usp=sharing"",""นครศรีธรรมราช!M446"")"),0)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IFERROR(__xludf.DUMMYFUNCTION("IMPORTRANGE(""https://docs.google.com/spreadsheets/d/1IYY_tgx_IHuhSq3AJ5eI5OnqOPBNLWSHKh2a30DoXe8/edit?usp=sharing"",""นครศรีธรรมราช!L447"")"),0)</f>
        <v>0</v>
      </c>
      <c r="M552" s="168"/>
      <c r="N552" s="175">
        <f ca="1">IFERROR(__xludf.DUMMYFUNCTION("IMPORTRANGE(""https://docs.google.com/spreadsheets/d/1IYY_tgx_IHuhSq3AJ5eI5OnqOPBNLWSHKh2a30DoXe8/edit?usp=sharing"",""นครศรีธรรมราช!M447"")"),0)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IFERROR(__xludf.DUMMYFUNCTION("IMPORTRANGE(""https://docs.google.com/spreadsheets/d/1IYY_tgx_IHuhSq3AJ5eI5OnqOPBNLWSHKh2a30DoXe8/edit?usp=sharing"",""นครศรีธรรมราช!L448"")"),0)</f>
        <v>0</v>
      </c>
      <c r="M553" s="169"/>
      <c r="N553" s="175">
        <f ca="1">IFERROR(__xludf.DUMMYFUNCTION("IMPORTRANGE(""https://docs.google.com/spreadsheets/d/1IYY_tgx_IHuhSq3AJ5eI5OnqOPBNLWSHKh2a30DoXe8/edit?usp=sharing"",""นครศรีธรรมราช!M448"")"),0)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IFERROR(__xludf.DUMMYFUNCTION("IMPORTRANGE(""https://docs.google.com/spreadsheets/d/1IYY_tgx_IHuhSq3AJ5eI5OnqOPBNLWSHKh2a30DoXe8/edit?usp=sharing"",""นครศรีธรรมราช!L449"")"),0)</f>
        <v>0</v>
      </c>
      <c r="M554" s="175"/>
      <c r="N554" s="175">
        <f ca="1">IFERROR(__xludf.DUMMYFUNCTION("IMPORTRANGE(""https://docs.google.com/spreadsheets/d/1IYY_tgx_IHuhSq3AJ5eI5OnqOPBNLWSHKh2a30DoXe8/edit?usp=sharing"",""นครศรีธรรมราช!M449"")"),0)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IFERROR(__xludf.DUMMYFUNCTION("IMPORTRANGE(""https://docs.google.com/spreadsheets/d/1IYY_tgx_IHuhSq3AJ5eI5OnqOPBNLWSHKh2a30DoXe8/edit?usp=sharing"",""นครศรีธรรมราช!L450"")"),0)</f>
        <v>0</v>
      </c>
      <c r="M555" s="175"/>
      <c r="N555" s="175">
        <f ca="1">IFERROR(__xludf.DUMMYFUNCTION("IMPORTRANGE(""https://docs.google.com/spreadsheets/d/1IYY_tgx_IHuhSq3AJ5eI5OnqOPBNLWSHKh2a30DoXe8/edit?usp=sharing"",""นครศรีธรรมราช!M450"")"),0)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IFERROR(__xludf.DUMMYFUNCTION("IMPORTRANGE(""https://docs.google.com/spreadsheets/d/1IYY_tgx_IHuhSq3AJ5eI5OnqOPBNLWSHKh2a30DoXe8/edit?usp=sharing"",""นครศรีธรรมราช!M451"")"),0)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IFERROR(__xludf.DUMMYFUNCTION("IMPORTRANGE(""https://docs.google.com/spreadsheets/d/1IYY_tgx_IHuhSq3AJ5eI5OnqOPBNLWSHKh2a30DoXe8/edit?usp=sharing"",""นครศรีธรรมราช!M452"")"),0)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IFERROR(__xludf.DUMMYFUNCTION("IMPORTRANGE(""https://docs.google.com/spreadsheets/d/1IYY_tgx_IHuhSq3AJ5eI5OnqOPBNLWSHKh2a30DoXe8/edit?usp=sharing"",""นครศรีธรรมราช!M453"")"),0)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IFERROR(__xludf.DUMMYFUNCTION("IMPORTRANGE(""https://docs.google.com/spreadsheets/d/1IYY_tgx_IHuhSq3AJ5eI5OnqOPBNLWSHKh2a30DoXe8/edit?usp=sharing"",""นครศรีธรรมราช!M454"")"),0)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IFERROR(__xludf.DUMMYFUNCTION("IMPORTRANGE(""https://docs.google.com/spreadsheets/d/1IYY_tgx_IHuhSq3AJ5eI5OnqOPBNLWSHKh2a30DoXe8/edit?usp=sharing"",""นครศรีธรรมราช!I455"")"),0)</f>
        <v>0</v>
      </c>
      <c r="J560" s="166">
        <f ca="1">IFERROR(__xludf.DUMMYFUNCTION("IMPORTRANGE(""https://docs.google.com/spreadsheets/d/1IYY_tgx_IHuhSq3AJ5eI5OnqOPBNLWSHKh2a30DoXe8/edit?usp=sharing"",""นครศรีธรรมราช!J455"")"),0)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IFERROR(__xludf.DUMMYFUNCTION("IMPORTRANGE(""https://docs.google.com/spreadsheets/d/1IYY_tgx_IHuhSq3AJ5eI5OnqOPBNLWSHKh2a30DoXe8/edit?usp=sharing"",""นครศรีธรรมราช!I456"")"),0)</f>
        <v>0</v>
      </c>
      <c r="J561" s="210">
        <f ca="1">IFERROR(__xludf.DUMMYFUNCTION("IMPORTRANGE(""https://docs.google.com/spreadsheets/d/1IYY_tgx_IHuhSq3AJ5eI5OnqOPBNLWSHKh2a30DoXe8/edit?usp=sharing"",""นครศรีธรรมราช!J456"")"),0)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IFERROR(__xludf.DUMMYFUNCTION("IMPORTRANGE(""https://docs.google.com/spreadsheets/d/1IYY_tgx_IHuhSq3AJ5eI5OnqOPBNLWSHKh2a30DoXe8/edit?usp=sharing"",""นครศรีธรรมราช!I459"")"),1700)</f>
        <v>1700</v>
      </c>
      <c r="J564" s="377">
        <f ca="1">IFERROR(__xludf.DUMMYFUNCTION("IMPORTRANGE(""https://docs.google.com/spreadsheets/d/1IYY_tgx_IHuhSq3AJ5eI5OnqOPBNLWSHKh2a30DoXe8/edit?usp=sharing"",""นครศรีธรรมราช!J459"")"),1100)</f>
        <v>1100</v>
      </c>
      <c r="K564" s="378">
        <f ca="1">IF(I564&gt;0,J564*100/I564,0)</f>
        <v>64.705882352941174</v>
      </c>
      <c r="L564" s="379">
        <f ca="1">IFERROR(__xludf.DUMMYFUNCTION("IMPORTRANGE(""https://docs.google.com/spreadsheets/d/1IYY_tgx_IHuhSq3AJ5eI5OnqOPBNLWSHKh2a30DoXe8/edit?usp=sharing"",""นครศรีธรรมราช!L459"")"),145440)</f>
        <v>145440</v>
      </c>
      <c r="M564" s="379"/>
      <c r="N564" s="379">
        <f ca="1">IFERROR(__xludf.DUMMYFUNCTION("IMPORTRANGE(""https://docs.google.com/spreadsheets/d/1IYY_tgx_IHuhSq3AJ5eI5OnqOPBNLWSHKh2a30DoXe8/edit?usp=sharing"",""นครศรีธรรมราช!M459"")"),70486.33)</f>
        <v>70486.33</v>
      </c>
      <c r="O564" s="379">
        <f t="shared" ref="O564:O568" ca="1" si="122">+IF(L564&gt;0,N564*100/L564,0)</f>
        <v>48.46419829482948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IFERROR(__xludf.DUMMYFUNCTION("IMPORTRANGE(""https://docs.google.com/spreadsheets/d/1IYY_tgx_IHuhSq3AJ5eI5OnqOPBNLWSHKh2a30DoXe8/edit?usp=sharing"",""นครศรีธรรมราช!L460"")"),0)</f>
        <v>0</v>
      </c>
      <c r="M565" s="168"/>
      <c r="N565" s="175">
        <f ca="1">IFERROR(__xludf.DUMMYFUNCTION("IMPORTRANGE(""https://docs.google.com/spreadsheets/d/1IYY_tgx_IHuhSq3AJ5eI5OnqOPBNLWSHKh2a30DoXe8/edit?usp=sharing"",""นครศรีธรรมราช!M460"")"),0)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IFERROR(__xludf.DUMMYFUNCTION("IMPORTRANGE(""https://docs.google.com/spreadsheets/d/1IYY_tgx_IHuhSq3AJ5eI5OnqOPBNLWSHKh2a30DoXe8/edit?usp=sharing"",""นครศรีธรรมราช!L461"")"),145440)</f>
        <v>145440</v>
      </c>
      <c r="M566" s="169"/>
      <c r="N566" s="175">
        <f ca="1">IFERROR(__xludf.DUMMYFUNCTION("IMPORTRANGE(""https://docs.google.com/spreadsheets/d/1IYY_tgx_IHuhSq3AJ5eI5OnqOPBNLWSHKh2a30DoXe8/edit?usp=sharing"",""นครศรีธรรมราช!M461"")"),70486.33)</f>
        <v>70486.33</v>
      </c>
      <c r="O566" s="175">
        <f t="shared" ca="1" si="122"/>
        <v>48.46419829482948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IFERROR(__xludf.DUMMYFUNCTION("IMPORTRANGE(""https://docs.google.com/spreadsheets/d/1IYY_tgx_IHuhSq3AJ5eI5OnqOPBNLWSHKh2a30DoXe8/edit?usp=sharing"",""นครศรีธรรมราช!L462"")"),0)</f>
        <v>0</v>
      </c>
      <c r="M567" s="175"/>
      <c r="N567" s="175">
        <f ca="1">IFERROR(__xludf.DUMMYFUNCTION("IMPORTRANGE(""https://docs.google.com/spreadsheets/d/1IYY_tgx_IHuhSq3AJ5eI5OnqOPBNLWSHKh2a30DoXe8/edit?usp=sharing"",""นครศรีธรรมราช!M462"")"),0)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IFERROR(__xludf.DUMMYFUNCTION("IMPORTRANGE(""https://docs.google.com/spreadsheets/d/1IYY_tgx_IHuhSq3AJ5eI5OnqOPBNLWSHKh2a30DoXe8/edit?usp=sharing"",""นครศรีธรรมราช!L463"")"),145440)</f>
        <v>145440</v>
      </c>
      <c r="M568" s="175"/>
      <c r="N568" s="175">
        <f ca="1">IFERROR(__xludf.DUMMYFUNCTION("IMPORTRANGE(""https://docs.google.com/spreadsheets/d/1IYY_tgx_IHuhSq3AJ5eI5OnqOPBNLWSHKh2a30DoXe8/edit?usp=sharing"",""นครศรีธรรมราช!M463"")"),70486.33)</f>
        <v>70486.33</v>
      </c>
      <c r="O568" s="175">
        <f t="shared" ca="1" si="122"/>
        <v>48.46419829482948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IFERROR(__xludf.DUMMYFUNCTION("IMPORTRANGE(""https://docs.google.com/spreadsheets/d/1IYY_tgx_IHuhSq3AJ5eI5OnqOPBNLWSHKh2a30DoXe8/edit?usp=sharing"",""นครศรีธรรมราช!M464"")"),0)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IFERROR(__xludf.DUMMYFUNCTION("IMPORTRANGE(""https://docs.google.com/spreadsheets/d/1IYY_tgx_IHuhSq3AJ5eI5OnqOPBNLWSHKh2a30DoXe8/edit?usp=sharing"",""นครศรีธรรมราช!M465"")"),0)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IFERROR(__xludf.DUMMYFUNCTION("IMPORTRANGE(""https://docs.google.com/spreadsheets/d/1IYY_tgx_IHuhSq3AJ5eI5OnqOPBNLWSHKh2a30DoXe8/edit?usp=sharing"",""นครศรีธรรมราช!M466"")"),43633.33)</f>
        <v>43633.33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IFERROR(__xludf.DUMMYFUNCTION("IMPORTRANGE(""https://docs.google.com/spreadsheets/d/1IYY_tgx_IHuhSq3AJ5eI5OnqOPBNLWSHKh2a30DoXe8/edit?usp=sharing"",""นครศรีธรรมราช!M467"")"),26853)</f>
        <v>26853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IFERROR(__xludf.DUMMYFUNCTION("IMPORTRANGE(""https://docs.google.com/spreadsheets/d/1IYY_tgx_IHuhSq3AJ5eI5OnqOPBNLWSHKh2a30DoXe8/edit?usp=sharing"",""นครศรีธรรมราช!I468"")"),1700)</f>
        <v>1700</v>
      </c>
      <c r="J573" s="426">
        <f ca="1">IFERROR(__xludf.DUMMYFUNCTION("IMPORTRANGE(""https://docs.google.com/spreadsheets/d/1IYY_tgx_IHuhSq3AJ5eI5OnqOPBNLWSHKh2a30DoXe8/edit?usp=sharing"",""นครศรีธรรมราช!J468"")"),1100)</f>
        <v>1100</v>
      </c>
      <c r="K573" s="208">
        <f ca="1">IF(I573&gt;0,J573*100/I573,0)</f>
        <v>64.705882352941174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IFERROR(__xludf.DUMMYFUNCTION("IMPORTRANGE(""https://docs.google.com/spreadsheets/d/1IYY_tgx_IHuhSq3AJ5eI5OnqOPBNLWSHKh2a30DoXe8/edit?usp=sharing"",""นครศรีธรรมราช!I470"")"),0)</f>
        <v>0</v>
      </c>
      <c r="J575" s="204">
        <f ca="1">IFERROR(__xludf.DUMMYFUNCTION("IMPORTRANGE(""https://docs.google.com/spreadsheets/d/1IYY_tgx_IHuhSq3AJ5eI5OnqOPBNLWSHKh2a30DoXe8/edit?usp=sharing"",""นครศรีธรรมราช!J470"")"),6)</f>
        <v>6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IFERROR(__xludf.DUMMYFUNCTION("IMPORTRANGE(""https://docs.google.com/spreadsheets/d/1IYY_tgx_IHuhSq3AJ5eI5OnqOPBNLWSHKh2a30DoXe8/edit?usp=sharing"",""นครศรีธรรมราช!I471"")"),0)</f>
        <v>0</v>
      </c>
      <c r="J576" s="204">
        <f ca="1">IFERROR(__xludf.DUMMYFUNCTION("IMPORTRANGE(""https://docs.google.com/spreadsheets/d/1IYY_tgx_IHuhSq3AJ5eI5OnqOPBNLWSHKh2a30DoXe8/edit?usp=sharing"",""นครศรีธรรมราช!J471"")"),304)</f>
        <v>304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IFERROR(__xludf.DUMMYFUNCTION("IMPORTRANGE(""https://docs.google.com/spreadsheets/d/1IYY_tgx_IHuhSq3AJ5eI5OnqOPBNLWSHKh2a30DoXe8/edit?usp=sharing"",""นครศรีธรรมราช!I472"")"),0)</f>
        <v>0</v>
      </c>
      <c r="J577" s="195">
        <f ca="1">IFERROR(__xludf.DUMMYFUNCTION("IMPORTRANGE(""https://docs.google.com/spreadsheets/d/1IYY_tgx_IHuhSq3AJ5eI5OnqOPBNLWSHKh2a30DoXe8/edit?usp=sharing"",""นครศรีธรรมราช!J472"")"),796)</f>
        <v>796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IFERROR(__xludf.DUMMYFUNCTION("IMPORTRANGE(""https://docs.google.com/spreadsheets/d/1IYY_tgx_IHuhSq3AJ5eI5OnqOPBNLWSHKh2a30DoXe8/edit?usp=sharing"",""นครศรีธรรมราช!I473"")"),0)</f>
        <v>0</v>
      </c>
      <c r="J578" s="204">
        <f ca="1">IFERROR(__xludf.DUMMYFUNCTION("IMPORTRANGE(""https://docs.google.com/spreadsheets/d/1IYY_tgx_IHuhSq3AJ5eI5OnqOPBNLWSHKh2a30DoXe8/edit?usp=sharing"",""นครศรีธรรมราช!J473"")"),0)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IFERROR(__xludf.DUMMYFUNCTION("IMPORTRANGE(""https://docs.google.com/spreadsheets/d/1IYY_tgx_IHuhSq3AJ5eI5OnqOPBNLWSHKh2a30DoXe8/edit?usp=sharing"",""นครศรีธรรมราช!I474"")"),0)</f>
        <v>0</v>
      </c>
      <c r="J579" s="204">
        <f ca="1">IFERROR(__xludf.DUMMYFUNCTION("IMPORTRANGE(""https://docs.google.com/spreadsheets/d/1IYY_tgx_IHuhSq3AJ5eI5OnqOPBNLWSHKh2a30DoXe8/edit?usp=sharing"",""นครศรีธรรมราช!J474"")"),0)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IFERROR(__xludf.DUMMYFUNCTION("IMPORTRANGE(""https://docs.google.com/spreadsheets/d/1IYY_tgx_IHuhSq3AJ5eI5OnqOPBNLWSHKh2a30DoXe8/edit?usp=sharing"",""นครศรีธรรมราช!I475"")"),27)</f>
        <v>27</v>
      </c>
      <c r="J580" s="377">
        <f ca="1">IFERROR(__xludf.DUMMYFUNCTION("IMPORTRANGE(""https://docs.google.com/spreadsheets/d/1IYY_tgx_IHuhSq3AJ5eI5OnqOPBNLWSHKh2a30DoXe8/edit?usp=sharing"",""นครศรีธรรมราช!J475"")"),2)</f>
        <v>2</v>
      </c>
      <c r="K580" s="378">
        <f ca="1">IF(I580&gt;0,J580*100/I580,0)</f>
        <v>7.4074074074074074</v>
      </c>
      <c r="L580" s="379">
        <f ca="1">IFERROR(__xludf.DUMMYFUNCTION("IMPORTRANGE(""https://docs.google.com/spreadsheets/d/1IYY_tgx_IHuhSq3AJ5eI5OnqOPBNLWSHKh2a30DoXe8/edit?usp=sharing"",""นครศรีธรรมราช!L475"")"),147177)</f>
        <v>147177</v>
      </c>
      <c r="M580" s="379"/>
      <c r="N580" s="379">
        <f ca="1">IFERROR(__xludf.DUMMYFUNCTION("IMPORTRANGE(""https://docs.google.com/spreadsheets/d/1IYY_tgx_IHuhSq3AJ5eI5OnqOPBNLWSHKh2a30DoXe8/edit?usp=sharing"",""นครศรีธรรมราช!M475"")"),4921)</f>
        <v>4921</v>
      </c>
      <c r="O580" s="379">
        <f t="shared" ref="O580:O584" ca="1" si="124">+IF(L580&gt;0,N580*100/L580,0)</f>
        <v>3.3435930885940057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IFERROR(__xludf.DUMMYFUNCTION("IMPORTRANGE(""https://docs.google.com/spreadsheets/d/1IYY_tgx_IHuhSq3AJ5eI5OnqOPBNLWSHKh2a30DoXe8/edit?usp=sharing"",""นครศรีธรรมราช!L476"")"),0)</f>
        <v>0</v>
      </c>
      <c r="M581" s="168"/>
      <c r="N581" s="175">
        <f ca="1">IFERROR(__xludf.DUMMYFUNCTION("IMPORTRANGE(""https://docs.google.com/spreadsheets/d/1IYY_tgx_IHuhSq3AJ5eI5OnqOPBNLWSHKh2a30DoXe8/edit?usp=sharing"",""นครศรีธรรมราช!M476"")"),0)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IFERROR(__xludf.DUMMYFUNCTION("IMPORTRANGE(""https://docs.google.com/spreadsheets/d/1IYY_tgx_IHuhSq3AJ5eI5OnqOPBNLWSHKh2a30DoXe8/edit?usp=sharing"",""นครศรีธรรมราช!L477"")"),147177)</f>
        <v>147177</v>
      </c>
      <c r="M582" s="169"/>
      <c r="N582" s="175">
        <f ca="1">IFERROR(__xludf.DUMMYFUNCTION("IMPORTRANGE(""https://docs.google.com/spreadsheets/d/1IYY_tgx_IHuhSq3AJ5eI5OnqOPBNLWSHKh2a30DoXe8/edit?usp=sharing"",""นครศรีธรรมราช!M477"")"),4921)</f>
        <v>4921</v>
      </c>
      <c r="O582" s="175">
        <f t="shared" ca="1" si="124"/>
        <v>3.3435930885940057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IFERROR(__xludf.DUMMYFUNCTION("IMPORTRANGE(""https://docs.google.com/spreadsheets/d/1IYY_tgx_IHuhSq3AJ5eI5OnqOPBNLWSHKh2a30DoXe8/edit?usp=sharing"",""นครศรีธรรมราช!L478"")"),0)</f>
        <v>0</v>
      </c>
      <c r="M583" s="175"/>
      <c r="N583" s="175">
        <f ca="1">IFERROR(__xludf.DUMMYFUNCTION("IMPORTRANGE(""https://docs.google.com/spreadsheets/d/1IYY_tgx_IHuhSq3AJ5eI5OnqOPBNLWSHKh2a30DoXe8/edit?usp=sharing"",""นครศรีธรรมราช!M478"")"),0)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IFERROR(__xludf.DUMMYFUNCTION("IMPORTRANGE(""https://docs.google.com/spreadsheets/d/1IYY_tgx_IHuhSq3AJ5eI5OnqOPBNLWSHKh2a30DoXe8/edit?usp=sharing"",""นครศรีธรรมราช!L479"")"),147177)</f>
        <v>147177</v>
      </c>
      <c r="M584" s="175"/>
      <c r="N584" s="175">
        <f ca="1">IFERROR(__xludf.DUMMYFUNCTION("IMPORTRANGE(""https://docs.google.com/spreadsheets/d/1IYY_tgx_IHuhSq3AJ5eI5OnqOPBNLWSHKh2a30DoXe8/edit?usp=sharing"",""นครศรีธรรมราช!M479"")"),4921)</f>
        <v>4921</v>
      </c>
      <c r="O584" s="175">
        <f t="shared" ca="1" si="124"/>
        <v>3.3435930885940057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IFERROR(__xludf.DUMMYFUNCTION("IMPORTRANGE(""https://docs.google.com/spreadsheets/d/1IYY_tgx_IHuhSq3AJ5eI5OnqOPBNLWSHKh2a30DoXe8/edit?usp=sharing"",""นครศรีธรรมราช!M480"")"),0)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IFERROR(__xludf.DUMMYFUNCTION("IMPORTRANGE(""https://docs.google.com/spreadsheets/d/1IYY_tgx_IHuhSq3AJ5eI5OnqOPBNLWSHKh2a30DoXe8/edit?usp=sharing"",""นครศรีธรรมราช!M481"")"),0)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IFERROR(__xludf.DUMMYFUNCTION("IMPORTRANGE(""https://docs.google.com/spreadsheets/d/1IYY_tgx_IHuhSq3AJ5eI5OnqOPBNLWSHKh2a30DoXe8/edit?usp=sharing"",""นครศรีธรรมราช!M482"")"),0)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IFERROR(__xludf.DUMMYFUNCTION("IMPORTRANGE(""https://docs.google.com/spreadsheets/d/1IYY_tgx_IHuhSq3AJ5eI5OnqOPBNLWSHKh2a30DoXe8/edit?usp=sharing"",""นครศรีธรรมราช!M483"")"),4921)</f>
        <v>4921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IFERROR(__xludf.DUMMYFUNCTION("IMPORTRANGE(""https://docs.google.com/spreadsheets/d/1IYY_tgx_IHuhSq3AJ5eI5OnqOPBNLWSHKh2a30DoXe8/edit?usp=sharing"",""นครศรีธรรมราช!I484"")"),27)</f>
        <v>27</v>
      </c>
      <c r="J589" s="194">
        <f ca="1">IFERROR(__xludf.DUMMYFUNCTION("IMPORTRANGE(""https://docs.google.com/spreadsheets/d/1IYY_tgx_IHuhSq3AJ5eI5OnqOPBNLWSHKh2a30DoXe8/edit?usp=sharing"",""นครศรีธรรมราช!J484"")"),0)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IFERROR(__xludf.DUMMYFUNCTION("IMPORTRANGE(""https://docs.google.com/spreadsheets/d/1IYY_tgx_IHuhSq3AJ5eI5OnqOPBNLWSHKh2a30DoXe8/edit?usp=sharing"",""นครศรีธรรมราช!I485"")"),0)</f>
        <v>0</v>
      </c>
      <c r="J590" s="194">
        <f ca="1">IFERROR(__xludf.DUMMYFUNCTION("IMPORTRANGE(""https://docs.google.com/spreadsheets/d/1IYY_tgx_IHuhSq3AJ5eI5OnqOPBNLWSHKh2a30DoXe8/edit?usp=sharing"",""นครศรีธรรมราช!J485"")"),0)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IFERROR(__xludf.DUMMYFUNCTION("IMPORTRANGE(""https://docs.google.com/spreadsheets/d/1IYY_tgx_IHuhSq3AJ5eI5OnqOPBNLWSHKh2a30DoXe8/edit?usp=sharing"",""นครศรีธรรมราช!I486"")"),27)</f>
        <v>27</v>
      </c>
      <c r="J591" s="194">
        <f ca="1">IFERROR(__xludf.DUMMYFUNCTION("IMPORTRANGE(""https://docs.google.com/spreadsheets/d/1IYY_tgx_IHuhSq3AJ5eI5OnqOPBNLWSHKh2a30DoXe8/edit?usp=sharing"",""นครศรีธรรมราช!J486"")"),2)</f>
        <v>2</v>
      </c>
      <c r="K591" s="167">
        <f t="shared" ca="1" si="125"/>
        <v>7.4074074074074074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IFERROR(__xludf.DUMMYFUNCTION("IMPORTRANGE(""https://docs.google.com/spreadsheets/d/1IYY_tgx_IHuhSq3AJ5eI5OnqOPBNLWSHKh2a30DoXe8/edit?usp=sharing"",""นครศรีธรรมราช!I487"")"),0)</f>
        <v>0</v>
      </c>
      <c r="J592" s="194">
        <f ca="1">IFERROR(__xludf.DUMMYFUNCTION("IMPORTRANGE(""https://docs.google.com/spreadsheets/d/1IYY_tgx_IHuhSq3AJ5eI5OnqOPBNLWSHKh2a30DoXe8/edit?usp=sharing"",""นครศรีธรรมราช!J487"")"),1.01)</f>
        <v>1.01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IFERROR(__xludf.DUMMYFUNCTION("IMPORTRANGE(""https://docs.google.com/spreadsheets/d/1IYY_tgx_IHuhSq3AJ5eI5OnqOPBNLWSHKh2a30DoXe8/edit?usp=sharing"",""นครศรีธรรมราช!I488"")"),27)</f>
        <v>27</v>
      </c>
      <c r="J593" s="194">
        <f ca="1">IFERROR(__xludf.DUMMYFUNCTION("IMPORTRANGE(""https://docs.google.com/spreadsheets/d/1IYY_tgx_IHuhSq3AJ5eI5OnqOPBNLWSHKh2a30DoXe8/edit?usp=sharing"",""นครศรีธรรมราช!J488"")"),0)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IFERROR(__xludf.DUMMYFUNCTION("IMPORTRANGE(""https://docs.google.com/spreadsheets/d/1IYY_tgx_IHuhSq3AJ5eI5OnqOPBNLWSHKh2a30DoXe8/edit?usp=sharing"",""นครศรีธรรมราช!I489"")"),0)</f>
        <v>0</v>
      </c>
      <c r="J594" s="194">
        <f ca="1">IFERROR(__xludf.DUMMYFUNCTION("IMPORTRANGE(""https://docs.google.com/spreadsheets/d/1IYY_tgx_IHuhSq3AJ5eI5OnqOPBNLWSHKh2a30DoXe8/edit?usp=sharing"",""นครศรีธรรมราช!J489"")"),0)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IFERROR(__xludf.DUMMYFUNCTION("IMPORTRANGE(""https://docs.google.com/spreadsheets/d/1IYY_tgx_IHuhSq3AJ5eI5OnqOPBNLWSHKh2a30DoXe8/edit?usp=sharing"",""นครศรีธรรมราช!I490"")"),27)</f>
        <v>27</v>
      </c>
      <c r="J595" s="194">
        <f ca="1">IFERROR(__xludf.DUMMYFUNCTION("IMPORTRANGE(""https://docs.google.com/spreadsheets/d/1IYY_tgx_IHuhSq3AJ5eI5OnqOPBNLWSHKh2a30DoXe8/edit?usp=sharing"",""นครศรีธรรมราช!J490"")"),2)</f>
        <v>2</v>
      </c>
      <c r="K595" s="167">
        <f t="shared" ca="1" si="125"/>
        <v>7.4074074074074074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IFERROR(__xludf.DUMMYFUNCTION("IMPORTRANGE(""https://docs.google.com/spreadsheets/d/1IYY_tgx_IHuhSq3AJ5eI5OnqOPBNLWSHKh2a30DoXe8/edit?usp=sharing"",""นครศรีธรรมราช!I491"")"),0)</f>
        <v>0</v>
      </c>
      <c r="J596" s="247">
        <f ca="1">IFERROR(__xludf.DUMMYFUNCTION("IMPORTRANGE(""https://docs.google.com/spreadsheets/d/1IYY_tgx_IHuhSq3AJ5eI5OnqOPBNLWSHKh2a30DoXe8/edit?usp=sharing"",""นครศรีธรรมราช!J491"")"),1.01)</f>
        <v>1.01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IFERROR(__xludf.DUMMYFUNCTION("IMPORTRANGE(""https://docs.google.com/spreadsheets/d/1IYY_tgx_IHuhSq3AJ5eI5OnqOPBNLWSHKh2a30DoXe8/edit?usp=sharing"",""นครศรีธรรมราช!I492"")"),50)</f>
        <v>50</v>
      </c>
      <c r="J597" s="493">
        <f ca="1">IFERROR(__xludf.DUMMYFUNCTION("IMPORTRANGE(""https://docs.google.com/spreadsheets/d/1IYY_tgx_IHuhSq3AJ5eI5OnqOPBNLWSHKh2a30DoXe8/edit?usp=sharing"",""นครศรีธรรมราช!J492"")"),0)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IFERROR(__xludf.DUMMYFUNCTION("IMPORTRANGE(""https://docs.google.com/spreadsheets/d/1IYY_tgx_IHuhSq3AJ5eI5OnqOPBNLWSHKh2a30DoXe8/edit?usp=sharing"",""นครศรีธรรมราช!L492"")"),4550)</f>
        <v>4550</v>
      </c>
      <c r="M597" s="418"/>
      <c r="N597" s="418">
        <f ca="1">IFERROR(__xludf.DUMMYFUNCTION("IMPORTRANGE(""https://docs.google.com/spreadsheets/d/1IYY_tgx_IHuhSq3AJ5eI5OnqOPBNLWSHKh2a30DoXe8/edit?usp=sharing"",""นครศรีธรรมราช!M492"")"),1800)</f>
        <v>1800</v>
      </c>
      <c r="O597" s="418">
        <f t="shared" ref="O597:O601" ca="1" si="126">+IF(L597&gt;0,N597*100/L597,0)</f>
        <v>39.560439560439562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IFERROR(__xludf.DUMMYFUNCTION("IMPORTRANGE(""https://docs.google.com/spreadsheets/d/1IYY_tgx_IHuhSq3AJ5eI5OnqOPBNLWSHKh2a30DoXe8/edit?usp=sharing"",""นครศรีธรรมราช!L493"")"),0)</f>
        <v>0</v>
      </c>
      <c r="M598" s="168"/>
      <c r="N598" s="175">
        <f ca="1">IFERROR(__xludf.DUMMYFUNCTION("IMPORTRANGE(""https://docs.google.com/spreadsheets/d/1IYY_tgx_IHuhSq3AJ5eI5OnqOPBNLWSHKh2a30DoXe8/edit?usp=sharing"",""นครศรีธรรมราช!M493"")"),0)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IFERROR(__xludf.DUMMYFUNCTION("IMPORTRANGE(""https://docs.google.com/spreadsheets/d/1IYY_tgx_IHuhSq3AJ5eI5OnqOPBNLWSHKh2a30DoXe8/edit?usp=sharing"",""นครศรีธรรมราช!L494"")"),4550)</f>
        <v>4550</v>
      </c>
      <c r="M599" s="169"/>
      <c r="N599" s="175">
        <f ca="1">IFERROR(__xludf.DUMMYFUNCTION("IMPORTRANGE(""https://docs.google.com/spreadsheets/d/1IYY_tgx_IHuhSq3AJ5eI5OnqOPBNLWSHKh2a30DoXe8/edit?usp=sharing"",""นครศรีธรรมราช!M494"")"),1800)</f>
        <v>1800</v>
      </c>
      <c r="O599" s="175">
        <f t="shared" ca="1" si="126"/>
        <v>39.560439560439562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IFERROR(__xludf.DUMMYFUNCTION("IMPORTRANGE(""https://docs.google.com/spreadsheets/d/1IYY_tgx_IHuhSq3AJ5eI5OnqOPBNLWSHKh2a30DoXe8/edit?usp=sharing"",""นครศรีธรรมราช!L495"")"),0)</f>
        <v>0</v>
      </c>
      <c r="M600" s="175"/>
      <c r="N600" s="175">
        <f ca="1">IFERROR(__xludf.DUMMYFUNCTION("IMPORTRANGE(""https://docs.google.com/spreadsheets/d/1IYY_tgx_IHuhSq3AJ5eI5OnqOPBNLWSHKh2a30DoXe8/edit?usp=sharing"",""นครศรีธรรมราช!M495"")"),0)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IFERROR(__xludf.DUMMYFUNCTION("IMPORTRANGE(""https://docs.google.com/spreadsheets/d/1IYY_tgx_IHuhSq3AJ5eI5OnqOPBNLWSHKh2a30DoXe8/edit?usp=sharing"",""นครศรีธรรมราช!L496"")"),4550)</f>
        <v>4550</v>
      </c>
      <c r="M601" s="175"/>
      <c r="N601" s="175">
        <f ca="1">IFERROR(__xludf.DUMMYFUNCTION("IMPORTRANGE(""https://docs.google.com/spreadsheets/d/1IYY_tgx_IHuhSq3AJ5eI5OnqOPBNLWSHKh2a30DoXe8/edit?usp=sharing"",""นครศรีธรรมราช!M496"")"),1800)</f>
        <v>1800</v>
      </c>
      <c r="O601" s="175">
        <f t="shared" ca="1" si="126"/>
        <v>39.560439560439562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IFERROR(__xludf.DUMMYFUNCTION("IMPORTRANGE(""https://docs.google.com/spreadsheets/d/1IYY_tgx_IHuhSq3AJ5eI5OnqOPBNLWSHKh2a30DoXe8/edit?usp=sharing"",""นครศรีธรรมราช!M497"")"),0)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IFERROR(__xludf.DUMMYFUNCTION("IMPORTRANGE(""https://docs.google.com/spreadsheets/d/1IYY_tgx_IHuhSq3AJ5eI5OnqOPBNLWSHKh2a30DoXe8/edit?usp=sharing"",""นครศรีธรรมราช!M498"")"),0)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IFERROR(__xludf.DUMMYFUNCTION("IMPORTRANGE(""https://docs.google.com/spreadsheets/d/1IYY_tgx_IHuhSq3AJ5eI5OnqOPBNLWSHKh2a30DoXe8/edit?usp=sharing"",""นครศรีธรรมราช!M499"")"),0)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IFERROR(__xludf.DUMMYFUNCTION("IMPORTRANGE(""https://docs.google.com/spreadsheets/d/1IYY_tgx_IHuhSq3AJ5eI5OnqOPBNLWSHKh2a30DoXe8/edit?usp=sharing"",""นครศรีธรรมราช!M500"")"),1800)</f>
        <v>1800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IFERROR(__xludf.DUMMYFUNCTION("IMPORTRANGE(""https://docs.google.com/spreadsheets/d/1IYY_tgx_IHuhSq3AJ5eI5OnqOPBNLWSHKh2a30DoXe8/edit?usp=sharing"",""นครศรีธรรมราช!J502"")"),0)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IFERROR(__xludf.DUMMYFUNCTION("IMPORTRANGE(""https://docs.google.com/spreadsheets/d/1IYY_tgx_IHuhSq3AJ5eI5OnqOPBNLWSHKh2a30DoXe8/edit?usp=sharing"",""นครศรีธรรมราช!J503"")"),1)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IFERROR(__xludf.DUMMYFUNCTION("IMPORTRANGE(""https://docs.google.com/spreadsheets/d/1IYY_tgx_IHuhSq3AJ5eI5OnqOPBNLWSHKh2a30DoXe8/edit?usp=sharing"",""นครศรีธรรมราช!J166"")"),0)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IFERROR(__xludf.DUMMYFUNCTION("IMPORTRANGE(""https://docs.google.com/spreadsheets/d/1IYY_tgx_IHuhSq3AJ5eI5OnqOPBNLWSHKh2a30DoXe8/edit?usp=sharing"",""นครศรีธรรมราช!J166"")"),0)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IFERROR(__xludf.DUMMYFUNCTION("IMPORTRANGE(""https://docs.google.com/spreadsheets/d/1IYY_tgx_IHuhSq3AJ5eI5OnqOPBNLWSHKh2a30DoXe8/edit?usp=sharing"",""นครศรีธรรมราช!I506"")"),50)</f>
        <v>50</v>
      </c>
      <c r="J611" s="166">
        <f ca="1">IFERROR(__xludf.DUMMYFUNCTION("IMPORTRANGE(""https://docs.google.com/spreadsheets/d/1IYY_tgx_IHuhSq3AJ5eI5OnqOPBNLWSHKh2a30DoXe8/edit?usp=sharing"",""นครศรีธรรมราช!J506"")"),0)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IFERROR(__xludf.DUMMYFUNCTION("IMPORTRANGE(""https://docs.google.com/spreadsheets/d/1IYY_tgx_IHuhSq3AJ5eI5OnqOPBNLWSHKh2a30DoXe8/edit?usp=sharing"",""นครศรีธรรมราช!I507"")"),0)</f>
        <v>0</v>
      </c>
      <c r="J612" s="204">
        <f ca="1">IFERROR(__xludf.DUMMYFUNCTION("IMPORTRANGE(""https://docs.google.com/spreadsheets/d/1IYY_tgx_IHuhSq3AJ5eI5OnqOPBNLWSHKh2a30DoXe8/edit?usp=sharing"",""นครศรีธรรมราช!J507"")"),0)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IFERROR(__xludf.DUMMYFUNCTION("IMPORTRANGE(""https://docs.google.com/spreadsheets/d/1IYY_tgx_IHuhSq3AJ5eI5OnqOPBNLWSHKh2a30DoXe8/edit?usp=sharing"",""นครศรีธรรมราช!I508"")"),0)</f>
        <v>0</v>
      </c>
      <c r="J613" s="204">
        <f ca="1">IFERROR(__xludf.DUMMYFUNCTION("IMPORTRANGE(""https://docs.google.com/spreadsheets/d/1IYY_tgx_IHuhSq3AJ5eI5OnqOPBNLWSHKh2a30DoXe8/edit?usp=sharing"",""นครศรีธรรมราช!J508"")"),0)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IFERROR(__xludf.DUMMYFUNCTION("IMPORTRANGE(""https://docs.google.com/spreadsheets/d/1IYY_tgx_IHuhSq3AJ5eI5OnqOPBNLWSHKh2a30DoXe8/edit?usp=sharing"",""นครศรีธรรมราช!I509"")"),0)</f>
        <v>0</v>
      </c>
      <c r="J614" s="204">
        <f ca="1">IFERROR(__xludf.DUMMYFUNCTION("IMPORTRANGE(""https://docs.google.com/spreadsheets/d/1IYY_tgx_IHuhSq3AJ5eI5OnqOPBNLWSHKh2a30DoXe8/edit?usp=sharing"",""นครศรีธรรมราช!J509"")"),0)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IFERROR(__xludf.DUMMYFUNCTION("IMPORTRANGE(""https://docs.google.com/spreadsheets/d/1IYY_tgx_IHuhSq3AJ5eI5OnqOPBNLWSHKh2a30DoXe8/edit?usp=sharing"",""นครศรีธรรมราช!I510"")"),0)</f>
        <v>0</v>
      </c>
      <c r="J615" s="204">
        <f ca="1">IFERROR(__xludf.DUMMYFUNCTION("IMPORTRANGE(""https://docs.google.com/spreadsheets/d/1IYY_tgx_IHuhSq3AJ5eI5OnqOPBNLWSHKh2a30DoXe8/edit?usp=sharing"",""นครศรีธรรมราช!J510"")"),0)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IFERROR(__xludf.DUMMYFUNCTION("IMPORTRANGE(""https://docs.google.com/spreadsheets/d/1IYY_tgx_IHuhSq3AJ5eI5OnqOPBNLWSHKh2a30DoXe8/edit?usp=sharing"",""นครศรีธรรมราช!I511"")"),0)</f>
        <v>0</v>
      </c>
      <c r="J616" s="204">
        <f ca="1">IFERROR(__xludf.DUMMYFUNCTION("IMPORTRANGE(""https://docs.google.com/spreadsheets/d/1IYY_tgx_IHuhSq3AJ5eI5OnqOPBNLWSHKh2a30DoXe8/edit?usp=sharing"",""นครศรีธรรมราช!J511"")"),0)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IFERROR(__xludf.DUMMYFUNCTION("IMPORTRANGE(""https://docs.google.com/spreadsheets/d/1IYY_tgx_IHuhSq3AJ5eI5OnqOPBNLWSHKh2a30DoXe8/edit?usp=sharing"",""นครศรีธรรมราช!I512"")"),0)</f>
        <v>0</v>
      </c>
      <c r="J617" s="194">
        <f ca="1">IFERROR(__xludf.DUMMYFUNCTION("IMPORTRANGE(""https://docs.google.com/spreadsheets/d/1IYY_tgx_IHuhSq3AJ5eI5OnqOPBNLWSHKh2a30DoXe8/edit?usp=sharing"",""นครศรีธรรมราช!J512"")"),0)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IFERROR(__xludf.DUMMYFUNCTION("IMPORTRANGE(""https://docs.google.com/spreadsheets/d/1IYY_tgx_IHuhSq3AJ5eI5OnqOPBNLWSHKh2a30DoXe8/edit?usp=sharing"",""นครศรีธรรมราช!I513"")"),0)</f>
        <v>0</v>
      </c>
      <c r="J618" s="195">
        <f ca="1">IFERROR(__xludf.DUMMYFUNCTION("IMPORTRANGE(""https://docs.google.com/spreadsheets/d/1IYY_tgx_IHuhSq3AJ5eI5OnqOPBNLWSHKh2a30DoXe8/edit?usp=sharing"",""นครศรีธรรมราช!J513"")"),0)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IFERROR(__xludf.DUMMYFUNCTION("IMPORTRANGE(""https://docs.google.com/spreadsheets/d/1IYY_tgx_IHuhSq3AJ5eI5OnqOPBNLWSHKh2a30DoXe8/edit?usp=sharing"",""นครศรีธรรมราช!I514"")"),0)</f>
        <v>0</v>
      </c>
      <c r="J619" s="195">
        <f ca="1">IFERROR(__xludf.DUMMYFUNCTION("IMPORTRANGE(""https://docs.google.com/spreadsheets/d/1IYY_tgx_IHuhSq3AJ5eI5OnqOPBNLWSHKh2a30DoXe8/edit?usp=sharing"",""นครศรีธรรมราช!J514"")"),0)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IFERROR(__xludf.DUMMYFUNCTION("IMPORTRANGE(""https://docs.google.com/spreadsheets/d/1IYY_tgx_IHuhSq3AJ5eI5OnqOPBNLWSHKh2a30DoXe8/edit?usp=sharing"",""นครศรีธรรมราช!I515"")"),0)</f>
        <v>0</v>
      </c>
      <c r="J620" s="209">
        <f ca="1">IFERROR(__xludf.DUMMYFUNCTION("IMPORTRANGE(""https://docs.google.com/spreadsheets/d/1IYY_tgx_IHuhSq3AJ5eI5OnqOPBNLWSHKh2a30DoXe8/edit?usp=sharing"",""นครศรีธรรมราช!J515"")"),0)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IFERROR(__xludf.DUMMYFUNCTION("IMPORTRANGE(""https://docs.google.com/spreadsheets/d/1IYY_tgx_IHuhSq3AJ5eI5OnqOPBNLWSHKh2a30DoXe8/edit?usp=sharing"",""นครศรีธรรมราช!I516"")"),0)</f>
        <v>0</v>
      </c>
      <c r="J621" s="209">
        <f ca="1">IFERROR(__xludf.DUMMYFUNCTION("IMPORTRANGE(""https://docs.google.com/spreadsheets/d/1IYY_tgx_IHuhSq3AJ5eI5OnqOPBNLWSHKh2a30DoXe8/edit?usp=sharing"",""นครศรีธรรมราช!J516"")"),0)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IFERROR(__xludf.DUMMYFUNCTION("IMPORTRANGE(""https://docs.google.com/spreadsheets/d/1IYY_tgx_IHuhSq3AJ5eI5OnqOPBNLWSHKh2a30DoXe8/edit?usp=sharing"",""นครศรีธรรมราช!I517"")"),0)</f>
        <v>0</v>
      </c>
      <c r="J622" s="195">
        <f ca="1">IFERROR(__xludf.DUMMYFUNCTION("IMPORTRANGE(""https://docs.google.com/spreadsheets/d/1IYY_tgx_IHuhSq3AJ5eI5OnqOPBNLWSHKh2a30DoXe8/edit?usp=sharing"",""นครศรีธรรมราช!J517"")"),0)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IFERROR(__xludf.DUMMYFUNCTION("IMPORTRANGE(""https://docs.google.com/spreadsheets/d/1IYY_tgx_IHuhSq3AJ5eI5OnqOPBNLWSHKh2a30DoXe8/edit?usp=sharing"",""นครศรีธรรมราช!I518"")"),0)</f>
        <v>0</v>
      </c>
      <c r="J623" s="195">
        <f ca="1">IFERROR(__xludf.DUMMYFUNCTION("IMPORTRANGE(""https://docs.google.com/spreadsheets/d/1IYY_tgx_IHuhSq3AJ5eI5OnqOPBNLWSHKh2a30DoXe8/edit?usp=sharing"",""นครศรีธรรมราช!J518"")"),0)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IFERROR(__xludf.DUMMYFUNCTION("IMPORTRANGE(""https://docs.google.com/spreadsheets/d/1IYY_tgx_IHuhSq3AJ5eI5OnqOPBNLWSHKh2a30DoXe8/edit?usp=sharing"",""นครศรีธรรมราช!I519"")"),0)</f>
        <v>0</v>
      </c>
      <c r="J624" s="194">
        <f ca="1">IFERROR(__xludf.DUMMYFUNCTION("IMPORTRANGE(""https://docs.google.com/spreadsheets/d/1IYY_tgx_IHuhSq3AJ5eI5OnqOPBNLWSHKh2a30DoXe8/edit?usp=sharing"",""นครศรีธรรมราช!J519"")"),0)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IFERROR(__xludf.DUMMYFUNCTION("IMPORTRANGE(""https://docs.google.com/spreadsheets/d/1IYY_tgx_IHuhSq3AJ5eI5OnqOPBNLWSHKh2a30DoXe8/edit?usp=sharing"",""นครศรีธรรมราช!I520"")"),0)</f>
        <v>0</v>
      </c>
      <c r="J625" s="195">
        <f ca="1">IFERROR(__xludf.DUMMYFUNCTION("IMPORTRANGE(""https://docs.google.com/spreadsheets/d/1IYY_tgx_IHuhSq3AJ5eI5OnqOPBNLWSHKh2a30DoXe8/edit?usp=sharing"",""นครศรีธรรมราช!J520"")"),0)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IFERROR(__xludf.DUMMYFUNCTION("IMPORTRANGE(""https://docs.google.com/spreadsheets/d/1IYY_tgx_IHuhSq3AJ5eI5OnqOPBNLWSHKh2a30DoXe8/edit?usp=sharing"",""นครศรีธรรมราช!I521"")"),0)</f>
        <v>0</v>
      </c>
      <c r="J626" s="195">
        <f ca="1">IFERROR(__xludf.DUMMYFUNCTION("IMPORTRANGE(""https://docs.google.com/spreadsheets/d/1IYY_tgx_IHuhSq3AJ5eI5OnqOPBNLWSHKh2a30DoXe8/edit?usp=sharing"",""นครศรีธรรมราช!J521"")"),0)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IFERROR(__xludf.DUMMYFUNCTION("IMPORTRANGE(""https://docs.google.com/spreadsheets/d/1IYY_tgx_IHuhSq3AJ5eI5OnqOPBNLWSHKh2a30DoXe8/edit?usp=sharing"",""นครศรีธรรมราช!I523"")"),2169042.49)</f>
        <v>2169042.4900000002</v>
      </c>
      <c r="J628" s="347">
        <f ca="1">IFERROR(__xludf.DUMMYFUNCTION("IMPORTRANGE(""https://docs.google.com/spreadsheets/d/1IYY_tgx_IHuhSq3AJ5eI5OnqOPBNLWSHKh2a30DoXe8/edit?usp=sharing"",""นครศรีธรรมราช!J523"")"),565337.09)</f>
        <v>565337.09</v>
      </c>
      <c r="K628" s="348">
        <f t="shared" ref="K628:K635" ca="1" si="129">IF(I628&gt;0,J628*100/I628,0)</f>
        <v>26.063901127174319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IFERROR(__xludf.DUMMYFUNCTION("IMPORTRANGE(""https://docs.google.com/spreadsheets/d/1IYY_tgx_IHuhSq3AJ5eI5OnqOPBNLWSHKh2a30DoXe8/edit?usp=sharing"",""นครศรีธรรมราช!I524"")"),156)</f>
        <v>156</v>
      </c>
      <c r="J629" s="347">
        <f ca="1">IFERROR(__xludf.DUMMYFUNCTION("IMPORTRANGE(""https://docs.google.com/spreadsheets/d/1IYY_tgx_IHuhSq3AJ5eI5OnqOPBNLWSHKh2a30DoXe8/edit?usp=sharing"",""นครศรีธรรมราช!J524"")"),40)</f>
        <v>40</v>
      </c>
      <c r="K629" s="348">
        <f t="shared" ca="1" si="129"/>
        <v>25.641025641025642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IFERROR(__xludf.DUMMYFUNCTION("IMPORTRANGE(""https://docs.google.com/spreadsheets/d/1IYY_tgx_IHuhSq3AJ5eI5OnqOPBNLWSHKh2a30DoXe8/edit?usp=sharing"",""นครศรีธรรมราช!I525"")"),2464866.69)</f>
        <v>2464866.69</v>
      </c>
      <c r="J630" s="347">
        <f ca="1">IFERROR(__xludf.DUMMYFUNCTION("IMPORTRANGE(""https://docs.google.com/spreadsheets/d/1IYY_tgx_IHuhSq3AJ5eI5OnqOPBNLWSHKh2a30DoXe8/edit?usp=sharing"",""นครศรีธรรมราช!J525"")"),328071.36)</f>
        <v>328071.36</v>
      </c>
      <c r="K630" s="348">
        <f t="shared" ca="1" si="129"/>
        <v>13.309902776121334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IFERROR(__xludf.DUMMYFUNCTION("IMPORTRANGE(""https://docs.google.com/spreadsheets/d/1IYY_tgx_IHuhSq3AJ5eI5OnqOPBNLWSHKh2a30DoXe8/edit?usp=sharing"",""นครศรีธรรมราช!I526"")"),105)</f>
        <v>105</v>
      </c>
      <c r="J631" s="347">
        <f ca="1">IFERROR(__xludf.DUMMYFUNCTION("IMPORTRANGE(""https://docs.google.com/spreadsheets/d/1IYY_tgx_IHuhSq3AJ5eI5OnqOPBNLWSHKh2a30DoXe8/edit?usp=sharing"",""นครศรีธรรมราช!J526"")"),80)</f>
        <v>80</v>
      </c>
      <c r="K631" s="348">
        <f t="shared" ca="1" si="129"/>
        <v>76.19047619047619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IFERROR(__xludf.DUMMYFUNCTION("IMPORTRANGE(""https://docs.google.com/spreadsheets/d/1IYY_tgx_IHuhSq3AJ5eI5OnqOPBNLWSHKh2a30DoXe8/edit?usp=sharing"",""นครศรีธรรมราช!I527"")"),0)</f>
        <v>0</v>
      </c>
      <c r="J632" s="347">
        <f ca="1">IFERROR(__xludf.DUMMYFUNCTION("IMPORTRANGE(""https://docs.google.com/spreadsheets/d/1IYY_tgx_IHuhSq3AJ5eI5OnqOPBNLWSHKh2a30DoXe8/edit?usp=sharing"",""นครศรีธรรมราช!J527"")"),0)</f>
        <v>0</v>
      </c>
      <c r="K632" s="348">
        <f t="shared" ca="1" si="129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IFERROR(__xludf.DUMMYFUNCTION("IMPORTRANGE(""https://docs.google.com/spreadsheets/d/1IYY_tgx_IHuhSq3AJ5eI5OnqOPBNLWSHKh2a30DoXe8/edit?usp=sharing"",""นครศรีธรรมราช!I528"")"),0)</f>
        <v>0</v>
      </c>
      <c r="J633" s="347">
        <f ca="1">IFERROR(__xludf.DUMMYFUNCTION("IMPORTRANGE(""https://docs.google.com/spreadsheets/d/1IYY_tgx_IHuhSq3AJ5eI5OnqOPBNLWSHKh2a30DoXe8/edit?usp=sharing"",""นครศรีธรรมราช!J528"")"),0)</f>
        <v>0</v>
      </c>
      <c r="K633" s="348">
        <f t="shared" ca="1" si="129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IFERROR(__xludf.DUMMYFUNCTION("IMPORTRANGE(""https://docs.google.com/spreadsheets/d/1IYY_tgx_IHuhSq3AJ5eI5OnqOPBNLWSHKh2a30DoXe8/edit?usp=sharing"",""นครศรีธรรมราช!I529"")"),2000000)</f>
        <v>2000000</v>
      </c>
      <c r="J634" s="347">
        <f ca="1">IFERROR(__xludf.DUMMYFUNCTION("IMPORTRANGE(""https://docs.google.com/spreadsheets/d/1IYY_tgx_IHuhSq3AJ5eI5OnqOPBNLWSHKh2a30DoXe8/edit?usp=sharing"",""นครศรีธรรมราช!J529"")"),300000)</f>
        <v>300000</v>
      </c>
      <c r="K634" s="348">
        <f t="shared" ca="1" si="129"/>
        <v>15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IFERROR(__xludf.DUMMYFUNCTION("IMPORTRANGE(""https://docs.google.com/spreadsheets/d/1IYY_tgx_IHuhSq3AJ5eI5OnqOPBNLWSHKh2a30DoXe8/edit?usp=sharing"",""นครศรีธรรมราช!I530"")"),70)</f>
        <v>70</v>
      </c>
      <c r="J635" s="517">
        <f ca="1">IFERROR(__xludf.DUMMYFUNCTION("IMPORTRANGE(""https://docs.google.com/spreadsheets/d/1IYY_tgx_IHuhSq3AJ5eI5OnqOPBNLWSHKh2a30DoXe8/edit?usp=sharing"",""นครศรีธรรมราช!J530"")"),10)</f>
        <v>10</v>
      </c>
      <c r="K635" s="492">
        <f t="shared" ca="1" si="129"/>
        <v>14.285714285714286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2" max="16383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I6" sqref="I6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2.5429687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246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4119252.5</v>
      </c>
      <c r="M8" s="23">
        <f t="shared" ca="1" si="0"/>
        <v>2339080</v>
      </c>
      <c r="N8" s="23">
        <f t="shared" ca="1" si="0"/>
        <v>2279708.92</v>
      </c>
      <c r="O8" s="22">
        <f t="shared" ref="O8:O16" ca="1" si="1">IF(L8&gt;0,N8*100/L8,0)</f>
        <v>55.342781730423177</v>
      </c>
      <c r="P8" s="22">
        <f t="shared" ref="P8:P16" ca="1" si="2">IF(M8&gt;0,N8*100/M8,0)</f>
        <v>97.461776424919194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4119252.5</v>
      </c>
      <c r="M10" s="30">
        <f t="shared" ca="1" si="4"/>
        <v>2339080</v>
      </c>
      <c r="N10" s="30">
        <f t="shared" ca="1" si="4"/>
        <v>2279708.92</v>
      </c>
      <c r="O10" s="29">
        <f t="shared" ca="1" si="1"/>
        <v>55.342781730423177</v>
      </c>
      <c r="P10" s="29">
        <f t="shared" ca="1" si="2"/>
        <v>97.461776424919194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2264852.5</v>
      </c>
      <c r="M12" s="38">
        <f t="shared" ca="1" si="6"/>
        <v>1388680</v>
      </c>
      <c r="N12" s="38">
        <f t="shared" ca="1" si="6"/>
        <v>1329308.92</v>
      </c>
      <c r="O12" s="38">
        <f t="shared" ca="1" si="1"/>
        <v>58.692957709166492</v>
      </c>
      <c r="P12" s="38">
        <f t="shared" ca="1" si="2"/>
        <v>95.724639225739551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1368300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896552.5</v>
      </c>
      <c r="M14" s="38">
        <f t="shared" si="8"/>
        <v>0</v>
      </c>
      <c r="N14" s="38">
        <f t="shared" ca="1" si="8"/>
        <v>403273.74</v>
      </c>
      <c r="O14" s="41">
        <f t="shared" ca="1" si="1"/>
        <v>44.980493613034376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1854400</v>
      </c>
      <c r="M16" s="38">
        <f t="shared" ca="1" si="10"/>
        <v>950400</v>
      </c>
      <c r="N16" s="38">
        <f t="shared" ca="1" si="10"/>
        <v>950400</v>
      </c>
      <c r="O16" s="50">
        <f t="shared" ca="1" si="1"/>
        <v>51.251078515962035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2597545</v>
      </c>
      <c r="M18" s="23">
        <f t="shared" ca="1" si="11"/>
        <v>2339080</v>
      </c>
      <c r="N18" s="23">
        <f t="shared" ca="1" si="11"/>
        <v>1876435.18</v>
      </c>
      <c r="O18" s="22">
        <f t="shared" ref="O18:O20" ca="1" si="12">IF(L18&gt;0,N18*100/L18,0)</f>
        <v>72.238793938122342</v>
      </c>
      <c r="P18" s="22">
        <f t="shared" ref="P18:P26" ca="1" si="13">IF(M18&gt;0,N18*100/M18,0)</f>
        <v>80.221077517656511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2597545</v>
      </c>
      <c r="M20" s="30">
        <f t="shared" ca="1" si="15"/>
        <v>2339080</v>
      </c>
      <c r="N20" s="30">
        <f t="shared" ca="1" si="15"/>
        <v>1876435.18</v>
      </c>
      <c r="O20" s="29">
        <f t="shared" ca="1" si="12"/>
        <v>72.238793938122342</v>
      </c>
      <c r="P20" s="29">
        <f t="shared" ca="1" si="13"/>
        <v>80.221077517656511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1647145</v>
      </c>
      <c r="M22" s="42">
        <f t="shared" ca="1" si="18"/>
        <v>1388680</v>
      </c>
      <c r="N22" s="41">
        <f t="shared" ca="1" si="18"/>
        <v>926035.17999999993</v>
      </c>
      <c r="O22" s="41">
        <f t="shared" ca="1" si="17"/>
        <v>56.220622956691727</v>
      </c>
      <c r="P22" s="41">
        <f t="shared" ca="1" si="13"/>
        <v>66.684562318172652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1368300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278845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950400</v>
      </c>
      <c r="M26" s="50">
        <f t="shared" ca="1" si="22"/>
        <v>950400</v>
      </c>
      <c r="N26" s="50">
        <f t="shared" ca="1" si="22"/>
        <v>950400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1521707.5</v>
      </c>
      <c r="M28" s="23">
        <f t="shared" si="23"/>
        <v>0</v>
      </c>
      <c r="N28" s="23">
        <f t="shared" ca="1" si="23"/>
        <v>403273.74</v>
      </c>
      <c r="O28" s="22">
        <f t="shared" ref="O28:O30" ca="1" si="24">IF(L28&gt;0,N28*100/L28,0)</f>
        <v>26.501396621886926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1521707.5</v>
      </c>
      <c r="M30" s="30">
        <f t="shared" si="27"/>
        <v>0</v>
      </c>
      <c r="N30" s="30">
        <f t="shared" ca="1" si="27"/>
        <v>403273.74</v>
      </c>
      <c r="O30" s="29">
        <f t="shared" ca="1" si="24"/>
        <v>26.501396621886926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L352+L383+L404+L437+L457+L535+L553+L566+L582+L599-904000</f>
        <v>617707.5</v>
      </c>
      <c r="M32" s="41">
        <f t="shared" ref="M32:N32" si="30">M352+M383+M404+M437+M457+M535+M553+M566+M582+M599</f>
        <v>0</v>
      </c>
      <c r="N32" s="41">
        <f t="shared" ca="1" si="30"/>
        <v>403273.74</v>
      </c>
      <c r="O32" s="41">
        <f t="shared" ca="1" si="29"/>
        <v>65.285550199730451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617707.5</v>
      </c>
      <c r="M34" s="41">
        <f t="shared" si="32"/>
        <v>0</v>
      </c>
      <c r="N34" s="41">
        <f t="shared" ca="1" si="32"/>
        <v>403273.74</v>
      </c>
      <c r="O34" s="41">
        <f t="shared" ca="1" si="29"/>
        <v>65.285550199730451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904000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2597545</v>
      </c>
      <c r="M37" s="55">
        <f t="shared" ca="1" si="33"/>
        <v>2339080</v>
      </c>
      <c r="N37" s="55">
        <f t="shared" ca="1" si="33"/>
        <v>1876435.18</v>
      </c>
      <c r="O37" s="56">
        <f t="shared" ca="1" si="29"/>
        <v>72.238793938122342</v>
      </c>
      <c r="P37" s="56">
        <f t="shared" ca="1" si="25"/>
        <v>80.221077517656511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1505900</v>
      </c>
      <c r="M41" s="79">
        <f t="shared" ca="1" si="34"/>
        <v>1367000</v>
      </c>
      <c r="N41" s="79">
        <f t="shared" ca="1" si="34"/>
        <v>1214267.18</v>
      </c>
      <c r="O41" s="78">
        <f t="shared" ref="O41:O43" ca="1" si="35">IF(L41&gt;0,N41*100/L41,0)</f>
        <v>80.633984992363366</v>
      </c>
      <c r="P41" s="78">
        <f t="shared" ref="P41:P43" ca="1" si="36">IF(M41&gt;0,N41*100/M41,0)</f>
        <v>88.827152889539136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1505900</v>
      </c>
      <c r="M43" s="79">
        <f t="shared" ca="1" si="38"/>
        <v>1367000</v>
      </c>
      <c r="N43" s="79">
        <f t="shared" ca="1" si="38"/>
        <v>1214267.18</v>
      </c>
      <c r="O43" s="78">
        <f t="shared" ca="1" si="35"/>
        <v>80.633984992363366</v>
      </c>
      <c r="P43" s="78">
        <f t="shared" ca="1" si="36"/>
        <v>88.827152889539136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555500</v>
      </c>
      <c r="M45" s="91">
        <f ca="1">IFERROR(__xludf.DUMMYFUNCTION("IMPORTRANGE(""https://docs.google.com/spreadsheets/d/1Yj_ptqi66GCucihVvJfMjLAmec39IyEx_6qawtMGysU/edit?usp=sharing"",""สบก!Q85"")"),416600)</f>
        <v>416600</v>
      </c>
      <c r="N45" s="91">
        <f ca="1">IFERROR(__xludf.DUMMYFUNCTION("IMPORTRANGE(""https://docs.google.com/spreadsheets/d/1Yj_ptqi66GCucihVvJfMjLAmec39IyEx_6qawtMGysU/edit?usp=sharing"",""สบก!R85"")"),263867.18)</f>
        <v>263867.18</v>
      </c>
      <c r="O45" s="92">
        <f ca="1">IF(L45&gt;0,N45*100/L45,0)</f>
        <v>47.500842484248423</v>
      </c>
      <c r="P45" s="92">
        <f ca="1">IF(M45&gt;0,N45*100/M45,0)</f>
        <v>63.33825732117139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IFERROR(__xludf.DUMMYFUNCTION("IMPORTRANGE(""https://docs.google.com/spreadsheets/d/1Yj_ptqi66GCucihVvJfMjLAmec39IyEx_6qawtMGysU/edit?usp=sharing"",""สบก!M85"")"),555500)</f>
        <v>555500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IFERROR(__xludf.DUMMYFUNCTION("IMPORTRANGE(""https://docs.google.com/spreadsheets/d/1Yj_ptqi66GCucihVvJfMjLAmec39IyEx_6qawtMGysU/edit?usp=sharing"",""สบก!N85"")"),0)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IFERROR(__xludf.DUMMYFUNCTION("IMPORTRANGE(""https://docs.google.com/spreadsheets/d/1Yj_ptqi66GCucihVvJfMjLAmec39IyEx_6qawtMGysU/edit?usp=sharing"",""สบก!O85"")"),950400)</f>
        <v>950400</v>
      </c>
      <c r="M49" s="101">
        <f ca="1">L49</f>
        <v>950400</v>
      </c>
      <c r="N49" s="91">
        <f ca="1">IFERROR(__xludf.DUMMYFUNCTION("IMPORTRANGE(""https://docs.google.com/spreadsheets/d/1Yj_ptqi66GCucihVvJfMjLAmec39IyEx_6qawtMGysU/edit?usp=sharing"",""สบก!S85"")"),950400)</f>
        <v>950400</v>
      </c>
      <c r="O49" s="101">
        <f ca="1">IF(L49&gt;0,N49*100/L49,0)</f>
        <v>100</v>
      </c>
      <c r="P49" s="101">
        <f ca="1">IF(M49&gt;0,N49*100/M49,0)</f>
        <v>100</v>
      </c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306000</v>
      </c>
      <c r="M53" s="125">
        <f t="shared" ca="1" si="39"/>
        <v>375750</v>
      </c>
      <c r="N53" s="125">
        <f t="shared" ca="1" si="39"/>
        <v>254630</v>
      </c>
      <c r="O53" s="124">
        <f t="shared" ref="O53:O55" ca="1" si="40">IF(L53&gt;0,N53*100/L53,0)</f>
        <v>83.212418300653596</v>
      </c>
      <c r="P53" s="124">
        <f t="shared" ref="P53:P55" ca="1" si="41">IF(M53&gt;0,N53*100/M53,0)</f>
        <v>67.765801729873587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306000</v>
      </c>
      <c r="M55" s="125">
        <f t="shared" ca="1" si="43"/>
        <v>375750</v>
      </c>
      <c r="N55" s="125">
        <f t="shared" ca="1" si="43"/>
        <v>254630</v>
      </c>
      <c r="O55" s="124">
        <f t="shared" ca="1" si="40"/>
        <v>83.212418300653596</v>
      </c>
      <c r="P55" s="124">
        <f t="shared" ca="1" si="41"/>
        <v>67.765801729873587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306000</v>
      </c>
      <c r="M57" s="91">
        <f ca="1">IFERROR(__xludf.DUMMYFUNCTION("IMPORTRANGE(""https://docs.google.com/spreadsheets/d/1Yj_ptqi66GCucihVvJfMjLAmec39IyEx_6qawtMGysU/edit?usp=sharing"",""สบก!Z85"")"),375750)</f>
        <v>375750</v>
      </c>
      <c r="N57" s="91">
        <f ca="1">IFERROR(__xludf.DUMMYFUNCTION("IMPORTRANGE(""https://docs.google.com/spreadsheets/d/1Yj_ptqi66GCucihVvJfMjLAmec39IyEx_6qawtMGysU/edit?usp=sharing"",""สบก!AA85"")"),254630)</f>
        <v>254630</v>
      </c>
      <c r="O57" s="92">
        <f ca="1">IF(L57&gt;0,N57*100/L57,0)</f>
        <v>83.212418300653596</v>
      </c>
      <c r="P57" s="92">
        <f ca="1">IF(M57&gt;0,N57*100/M57,0)</f>
        <v>67.765801729873587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IFERROR(__xludf.DUMMYFUNCTION("IMPORTRANGE(""https://docs.google.com/spreadsheets/d/1Yj_ptqi66GCucihVvJfMjLAmec39IyEx_6qawtMGysU/edit?usp=sharing"",""สบก!V85"")"),306000)</f>
        <v>306000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IFERROR(__xludf.DUMMYFUNCTION("IMPORTRANGE(""https://docs.google.com/spreadsheets/d/1Yj_ptqi66GCucihVvJfMjLAmec39IyEx_6qawtMGysU/edit?usp=sharing"",""สบก!W85"")"),0)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IFERROR(__xludf.DUMMYFUNCTION("IMPORTRANGE(""https://docs.google.com/spreadsheets/d/1Yj_ptqi66GCucihVvJfMjLAmec39IyEx_6qawtMGysU/edit?usp=sharing"",""สบก!X85"")"),0)</f>
        <v>0</v>
      </c>
      <c r="M61" s="101"/>
      <c r="N61" s="91">
        <f ca="1">IFERROR(__xludf.DUMMYFUNCTION("IMPORTRANGE(""https://docs.google.com/spreadsheets/d/1Yj_ptqi66GCucihVvJfMjLAmec39IyEx_6qawtMGysU/edit?usp=sharing"",""สบก!AB85"")"),0)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IFERROR(__xludf.DUMMYFUNCTION("IMPORTRANGE(""https://docs.google.com/spreadsheets/d/1IYY_tgx_IHuhSq3AJ5eI5OnqOPBNLWSHKh2a30DoXe8/edit?usp=sharing"",""นราธิวาส!I9"")"),0)</f>
        <v>0</v>
      </c>
      <c r="J64" s="146">
        <f ca="1">IFERROR(__xludf.DUMMYFUNCTION("IMPORTRANGE(""https://docs.google.com/spreadsheets/d/1IYY_tgx_IHuhSq3AJ5eI5OnqOPBNLWSHKh2a30DoXe8/edit?usp=sharing"",""นราธิวาส!J9"")"),0)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IFERROR(__xludf.DUMMYFUNCTION("IMPORTRANGE(""https://docs.google.com/spreadsheets/d/1IYY_tgx_IHuhSq3AJ5eI5OnqOPBNLWSHKh2a30DoXe8/edit?usp=sharing"",""นราธิวาส!I10"")"),0)</f>
        <v>0</v>
      </c>
      <c r="J65" s="146">
        <f ca="1">IFERROR(__xludf.DUMMYFUNCTION("IMPORTRANGE(""https://docs.google.com/spreadsheets/d/1IYY_tgx_IHuhSq3AJ5eI5OnqOPBNLWSHKh2a30DoXe8/edit?usp=sharing"",""นราธิวาส!J10"")"),0)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IFERROR(__xludf.DUMMYFUNCTION("IMPORTRANGE(""https://docs.google.com/spreadsheets/d/1Yj_ptqi66GCucihVvJfMjLAmec39IyEx_6qawtMGysU/edit?usp=sharing"",""สบก!AI85"")"),0)</f>
        <v>0</v>
      </c>
      <c r="N70" s="174">
        <f ca="1">IFERROR(__xludf.DUMMYFUNCTION("IMPORTRANGE(""https://docs.google.com/spreadsheets/d/1Yj_ptqi66GCucihVvJfMjLAmec39IyEx_6qawtMGysU/edit?usp=sharing"",""สบก!AJ85"")"),0)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IFERROR(__xludf.DUMMYFUNCTION("IMPORTRANGE(""https://docs.google.com/spreadsheets/d/1Yj_ptqi66GCucihVvJfMjLAmec39IyEx_6qawtMGysU/edit?usp=sharing"",""สบก!AE85"")"),0)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IFERROR(__xludf.DUMMYFUNCTION("IMPORTRANGE(""https://docs.google.com/spreadsheets/d/1Yj_ptqi66GCucihVvJfMjLAmec39IyEx_6qawtMGysU/edit?usp=sharing"",""สบก!AF85"")"),0)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IFERROR(__xludf.DUMMYFUNCTION("IMPORTRANGE(""https://docs.google.com/spreadsheets/d/1Yj_ptqi66GCucihVvJfMjLAmec39IyEx_6qawtMGysU/edit?usp=sharing"",""สบก!AG85"")"),0)</f>
        <v>0</v>
      </c>
      <c r="M74" s="101"/>
      <c r="N74" s="91">
        <f ca="1">IFERROR(__xludf.DUMMYFUNCTION("IMPORTRANGE(""https://docs.google.com/spreadsheets/d/1Yj_ptqi66GCucihVvJfMjLAmec39IyEx_6qawtMGysU/edit?usp=sharing"",""สบก!AK85"")"),0)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IFERROR(__xludf.DUMMYFUNCTION("IMPORTRANGE(""https://docs.google.com/spreadsheets/d/1IYY_tgx_IHuhSq3AJ5eI5OnqOPBNLWSHKh2a30DoXe8/edit?usp=sharing"",""นราธิวาส!J16"")"),0)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IFERROR(__xludf.DUMMYFUNCTION("IMPORTRANGE(""https://docs.google.com/spreadsheets/d/1IYY_tgx_IHuhSq3AJ5eI5OnqOPBNLWSHKh2a30DoXe8/edit?usp=sharing"",""นราธิวาส!J17"")"),0)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IFERROR(__xludf.DUMMYFUNCTION("IMPORTRANGE(""https://docs.google.com/spreadsheets/d/1IYY_tgx_IHuhSq3AJ5eI5OnqOPBNLWSHKh2a30DoXe8/edit?usp=sharing"",""นราธิวาส!J18"")"),0)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IFERROR(__xludf.DUMMYFUNCTION("IMPORTRANGE(""https://docs.google.com/spreadsheets/d/1IYY_tgx_IHuhSq3AJ5eI5OnqOPBNLWSHKh2a30DoXe8/edit?usp=sharing"",""นราธิวาส!J19"")"),0)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IFERROR(__xludf.DUMMYFUNCTION("IMPORTRANGE(""https://docs.google.com/spreadsheets/d/1IYY_tgx_IHuhSq3AJ5eI5OnqOPBNLWSHKh2a30DoXe8/edit?usp=sharing"",""นราธิวาส!I20"")"),0)</f>
        <v>0</v>
      </c>
      <c r="J80" s="207">
        <f ca="1">IFERROR(__xludf.DUMMYFUNCTION("IMPORTRANGE(""https://docs.google.com/spreadsheets/d/1IYY_tgx_IHuhSq3AJ5eI5OnqOPBNLWSHKh2a30DoXe8/edit?usp=sharing"",""นราธิวาส!J20"")"),0)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IFERROR(__xludf.DUMMYFUNCTION("IMPORTRANGE(""https://docs.google.com/spreadsheets/d/1IYY_tgx_IHuhSq3AJ5eI5OnqOPBNLWSHKh2a30DoXe8/edit?usp=sharing"",""นราธิวาส!I21"")"),0)</f>
        <v>0</v>
      </c>
      <c r="J81" s="207">
        <f ca="1">IFERROR(__xludf.DUMMYFUNCTION("IMPORTRANGE(""https://docs.google.com/spreadsheets/d/1IYY_tgx_IHuhSq3AJ5eI5OnqOPBNLWSHKh2a30DoXe8/edit?usp=sharing"",""นราธิวาส!J21"")"),0)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IFERROR(__xludf.DUMMYFUNCTION("IMPORTRANGE(""https://docs.google.com/spreadsheets/d/1IYY_tgx_IHuhSq3AJ5eI5OnqOPBNLWSHKh2a30DoXe8/edit?usp=sharing"",""นราธิวาส!I22"")"),0)</f>
        <v>0</v>
      </c>
      <c r="J82" s="210">
        <f ca="1">IFERROR(__xludf.DUMMYFUNCTION("IMPORTRANGE(""https://docs.google.com/spreadsheets/d/1IYY_tgx_IHuhSq3AJ5eI5OnqOPBNLWSHKh2a30DoXe8/edit?usp=sharing"",""นราธิวาส!J22"")"),0)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IFERROR(__xludf.DUMMYFUNCTION("IMPORTRANGE(""https://docs.google.com/spreadsheets/d/1IYY_tgx_IHuhSq3AJ5eI5OnqOPBNLWSHKh2a30DoXe8/edit?usp=sharing"",""นราธิวาส!I23"")"),0)</f>
        <v>0</v>
      </c>
      <c r="J83" s="210">
        <f ca="1">IFERROR(__xludf.DUMMYFUNCTION("IMPORTRANGE(""https://docs.google.com/spreadsheets/d/1IYY_tgx_IHuhSq3AJ5eI5OnqOPBNLWSHKh2a30DoXe8/edit?usp=sharing"",""นราธิวาส!J23"")"),0)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IFERROR(__xludf.DUMMYFUNCTION("IMPORTRANGE(""https://docs.google.com/spreadsheets/d/1IYY_tgx_IHuhSq3AJ5eI5OnqOPBNLWSHKh2a30DoXe8/edit?usp=sharing"",""นราธิวาส!I24"")"),0)</f>
        <v>0</v>
      </c>
      <c r="J84" s="195">
        <f ca="1">IFERROR(__xludf.DUMMYFUNCTION("IMPORTRANGE(""https://docs.google.com/spreadsheets/d/1IYY_tgx_IHuhSq3AJ5eI5OnqOPBNLWSHKh2a30DoXe8/edit?usp=sharing"",""นราธิวาส!J24"")"),0)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IFERROR(__xludf.DUMMYFUNCTION("IMPORTRANGE(""https://docs.google.com/spreadsheets/d/1IYY_tgx_IHuhSq3AJ5eI5OnqOPBNLWSHKh2a30DoXe8/edit?usp=sharing"",""นราธิวาส!I25"")"),0)</f>
        <v>0</v>
      </c>
      <c r="J85" s="195">
        <f ca="1">IFERROR(__xludf.DUMMYFUNCTION("IMPORTRANGE(""https://docs.google.com/spreadsheets/d/1IYY_tgx_IHuhSq3AJ5eI5OnqOPBNLWSHKh2a30DoXe8/edit?usp=sharing"",""นราธิวาส!J25"")"),0)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IFERROR(__xludf.DUMMYFUNCTION("IMPORTRANGE(""https://docs.google.com/spreadsheets/d/1IYY_tgx_IHuhSq3AJ5eI5OnqOPBNLWSHKh2a30DoXe8/edit?usp=sharing"",""นราธิวาส!I26"")"),0)</f>
        <v>0</v>
      </c>
      <c r="J86" s="210">
        <f ca="1">IFERROR(__xludf.DUMMYFUNCTION("IMPORTRANGE(""https://docs.google.com/spreadsheets/d/1IYY_tgx_IHuhSq3AJ5eI5OnqOPBNLWSHKh2a30DoXe8/edit?usp=sharing"",""นราธิวาส!J26"")"),0)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IFERROR(__xludf.DUMMYFUNCTION("IMPORTRANGE(""https://docs.google.com/spreadsheets/d/1IYY_tgx_IHuhSq3AJ5eI5OnqOPBNLWSHKh2a30DoXe8/edit?usp=sharing"",""นราธิวาส!I27"")"),0)</f>
        <v>0</v>
      </c>
      <c r="J87" s="210">
        <f ca="1">IFERROR(__xludf.DUMMYFUNCTION("IMPORTRANGE(""https://docs.google.com/spreadsheets/d/1IYY_tgx_IHuhSq3AJ5eI5OnqOPBNLWSHKh2a30DoXe8/edit?usp=sharing"",""นราธิวาส!J27"")"),0)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IFERROR(__xludf.DUMMYFUNCTION("IMPORTRANGE(""https://docs.google.com/spreadsheets/d/1IYY_tgx_IHuhSq3AJ5eI5OnqOPBNLWSHKh2a30DoXe8/edit?usp=sharing"",""นราธิวาส!I28"")"),0)</f>
        <v>0</v>
      </c>
      <c r="J88" s="210">
        <f ca="1">IFERROR(__xludf.DUMMYFUNCTION("IMPORTRANGE(""https://docs.google.com/spreadsheets/d/1IYY_tgx_IHuhSq3AJ5eI5OnqOPBNLWSHKh2a30DoXe8/edit?usp=sharing"",""นราธิวาส!J28"")"),0)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IFERROR(__xludf.DUMMYFUNCTION("IMPORTRANGE(""https://docs.google.com/spreadsheets/d/1IYY_tgx_IHuhSq3AJ5eI5OnqOPBNLWSHKh2a30DoXe8/edit?usp=sharing"",""นราธิวาส!J29"")"),0)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IFERROR(__xludf.DUMMYFUNCTION("IMPORTRANGE(""https://docs.google.com/spreadsheets/d/1IYY_tgx_IHuhSq3AJ5eI5OnqOPBNLWSHKh2a30DoXe8/edit?usp=sharing"",""นราธิวาส!J30"")"),0)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IFERROR(__xludf.DUMMYFUNCTION("IMPORTRANGE(""https://docs.google.com/spreadsheets/d/1IYY_tgx_IHuhSq3AJ5eI5OnqOPBNLWSHKh2a30DoXe8/edit?usp=sharing"",""นราธิวาส!I32"")"),0)</f>
        <v>0</v>
      </c>
      <c r="J92" s="146">
        <f ca="1">IFERROR(__xludf.DUMMYFUNCTION("IMPORTRANGE(""https://docs.google.com/spreadsheets/d/1IYY_tgx_IHuhSq3AJ5eI5OnqOPBNLWSHKh2a30DoXe8/edit?usp=sharing"",""นราธิวาส!J32"")"),0)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IFERROR(__xludf.DUMMYFUNCTION("IMPORTRANGE(""https://docs.google.com/spreadsheets/d/1IYY_tgx_IHuhSq3AJ5eI5OnqOPBNLWSHKh2a30DoXe8/edit?usp=sharing"",""นราธิวาส!I33"")"),0)</f>
        <v>0</v>
      </c>
      <c r="J93" s="146">
        <f ca="1">IFERROR(__xludf.DUMMYFUNCTION("IMPORTRANGE(""https://docs.google.com/spreadsheets/d/1IYY_tgx_IHuhSq3AJ5eI5OnqOPBNLWSHKh2a30DoXe8/edit?usp=sharing"",""นราธิวาส!J33"")"),0)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IFERROR(__xludf.DUMMYFUNCTION("IMPORTRANGE(""https://docs.google.com/spreadsheets/d/1Yj_ptqi66GCucihVvJfMjLAmec39IyEx_6qawtMGysU/edit?usp=sharing"",""สบก!AR85"")"),0)</f>
        <v>0</v>
      </c>
      <c r="N98" s="174">
        <f ca="1">IFERROR(__xludf.DUMMYFUNCTION("IMPORTRANGE(""https://docs.google.com/spreadsheets/d/1Yj_ptqi66GCucihVvJfMjLAmec39IyEx_6qawtMGysU/edit?usp=sharing"",""สบก!AS85"")"),0)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IFERROR(__xludf.DUMMYFUNCTION("IMPORTRANGE(""https://docs.google.com/spreadsheets/d/1Yj_ptqi66GCucihVvJfMjLAmec39IyEx_6qawtMGysU/edit?usp=sharing"",""สบก!AN85"")"),0)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IFERROR(__xludf.DUMMYFUNCTION("IMPORTRANGE(""https://docs.google.com/spreadsheets/d/1Yj_ptqi66GCucihVvJfMjLAmec39IyEx_6qawtMGysU/edit?usp=sharing"",""สบก!AO85"")"),0)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IFERROR(__xludf.DUMMYFUNCTION("IMPORTRANGE(""https://docs.google.com/spreadsheets/d/1Yj_ptqi66GCucihVvJfMjLAmec39IyEx_6qawtMGysU/edit?usp=sharing"",""สบก!AP85"")"),0)</f>
        <v>0</v>
      </c>
      <c r="M102" s="101"/>
      <c r="N102" s="91">
        <f ca="1">IFERROR(__xludf.DUMMYFUNCTION("IMPORTRANGE(""https://docs.google.com/spreadsheets/d/1Yj_ptqi66GCucihVvJfMjLAmec39IyEx_6qawtMGysU/edit?usp=sharing"",""สบก!AT85"")"),0)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IFERROR(__xludf.DUMMYFUNCTION("IMPORTRANGE(""https://docs.google.com/spreadsheets/d/1IYY_tgx_IHuhSq3AJ5eI5OnqOPBNLWSHKh2a30DoXe8/edit?usp=sharing"",""นราธิวาส!J39"")"),0)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IFERROR(__xludf.DUMMYFUNCTION("IMPORTRANGE(""https://docs.google.com/spreadsheets/d/1IYY_tgx_IHuhSq3AJ5eI5OnqOPBNLWSHKh2a30DoXe8/edit?usp=sharing"",""นราธิวาส!J40"")"),0)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IFERROR(__xludf.DUMMYFUNCTION("IMPORTRANGE(""https://docs.google.com/spreadsheets/d/1IYY_tgx_IHuhSq3AJ5eI5OnqOPBNLWSHKh2a30DoXe8/edit?usp=sharing"",""นราธิวาส!J41"")"),0)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IFERROR(__xludf.DUMMYFUNCTION("IMPORTRANGE(""https://docs.google.com/spreadsheets/d/1IYY_tgx_IHuhSq3AJ5eI5OnqOPBNLWSHKh2a30DoXe8/edit?usp=sharing"",""นราธิวาส!J42"")"),0)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IFERROR(__xludf.DUMMYFUNCTION("IMPORTRANGE(""https://docs.google.com/spreadsheets/d/1IYY_tgx_IHuhSq3AJ5eI5OnqOPBNLWSHKh2a30DoXe8/edit?usp=sharing"",""นราธิวาส!I43"")"),0)</f>
        <v>0</v>
      </c>
      <c r="J108" s="210">
        <f ca="1">IFERROR(__xludf.DUMMYFUNCTION("IMPORTRANGE(""https://docs.google.com/spreadsheets/d/1IYY_tgx_IHuhSq3AJ5eI5OnqOPBNLWSHKh2a30DoXe8/edit?usp=sharing"",""นราธิวาส!J43"")"),0)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IFERROR(__xludf.DUMMYFUNCTION("IMPORTRANGE(""https://docs.google.com/spreadsheets/d/1IYY_tgx_IHuhSq3AJ5eI5OnqOPBNLWSHKh2a30DoXe8/edit?usp=sharing"",""นราธิวาส!I44"")"),0)</f>
        <v>0</v>
      </c>
      <c r="J109" s="210">
        <f ca="1">IFERROR(__xludf.DUMMYFUNCTION("IMPORTRANGE(""https://docs.google.com/spreadsheets/d/1IYY_tgx_IHuhSq3AJ5eI5OnqOPBNLWSHKh2a30DoXe8/edit?usp=sharing"",""นราธิวาส!J44"")"),0)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IFERROR(__xludf.DUMMYFUNCTION("IMPORTRANGE(""https://docs.google.com/spreadsheets/d/1IYY_tgx_IHuhSq3AJ5eI5OnqOPBNLWSHKh2a30DoXe8/edit?usp=sharing"",""นราธิวาส!I45"")"),0)</f>
        <v>0</v>
      </c>
      <c r="J110" s="210">
        <f ca="1">IFERROR(__xludf.DUMMYFUNCTION("IMPORTRANGE(""https://docs.google.com/spreadsheets/d/1IYY_tgx_IHuhSq3AJ5eI5OnqOPBNLWSHKh2a30DoXe8/edit?usp=sharing"",""นราธิวาส!J45"")"),0)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IFERROR(__xludf.DUMMYFUNCTION("IMPORTRANGE(""https://docs.google.com/spreadsheets/d/1IYY_tgx_IHuhSq3AJ5eI5OnqOPBNLWSHKh2a30DoXe8/edit?usp=sharing"",""นราธิวาส!I46"")"),0)</f>
        <v>0</v>
      </c>
      <c r="J111" s="210">
        <f ca="1">IFERROR(__xludf.DUMMYFUNCTION("IMPORTRANGE(""https://docs.google.com/spreadsheets/d/1IYY_tgx_IHuhSq3AJ5eI5OnqOPBNLWSHKh2a30DoXe8/edit?usp=sharing"",""นราธิวาส!J46"")"),0)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IFERROR(__xludf.DUMMYFUNCTION("IMPORTRANGE(""https://docs.google.com/spreadsheets/d/1IYY_tgx_IHuhSq3AJ5eI5OnqOPBNLWSHKh2a30DoXe8/edit?usp=sharing"",""นราธิวาส!I47"")"),0)</f>
        <v>0</v>
      </c>
      <c r="J112" s="210">
        <f ca="1">IFERROR(__xludf.DUMMYFUNCTION("IMPORTRANGE(""https://docs.google.com/spreadsheets/d/1IYY_tgx_IHuhSq3AJ5eI5OnqOPBNLWSHKh2a30DoXe8/edit?usp=sharing"",""นราธิวาส!J47"")"),0)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IFERROR(__xludf.DUMMYFUNCTION("IMPORTRANGE(""https://docs.google.com/spreadsheets/d/1IYY_tgx_IHuhSq3AJ5eI5OnqOPBNLWSHKh2a30DoXe8/edit?usp=sharing"",""นราธิวาส!I48"")"),0)</f>
        <v>0</v>
      </c>
      <c r="J113" s="210">
        <f ca="1">IFERROR(__xludf.DUMMYFUNCTION("IMPORTRANGE(""https://docs.google.com/spreadsheets/d/1IYY_tgx_IHuhSq3AJ5eI5OnqOPBNLWSHKh2a30DoXe8/edit?usp=sharing"",""นราธิวาส!J48"")"),0)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IFERROR(__xludf.DUMMYFUNCTION("IMPORTRANGE(""https://docs.google.com/spreadsheets/d/1IYY_tgx_IHuhSq3AJ5eI5OnqOPBNLWSHKh2a30DoXe8/edit?usp=sharing"",""นราธิวาส!J49"")"),0)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IFERROR(__xludf.DUMMYFUNCTION("IMPORTRANGE(""https://docs.google.com/spreadsheets/d/1IYY_tgx_IHuhSq3AJ5eI5OnqOPBNLWSHKh2a30DoXe8/edit?usp=sharing"",""นราธิวาส!J50"")"),0)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IFERROR(__xludf.DUMMYFUNCTION("IMPORTRANGE(""https://docs.google.com/spreadsheets/d/1IYY_tgx_IHuhSq3AJ5eI5OnqOPBNLWSHKh2a30DoXe8/edit?usp=sharing"",""นราธิวาส!I52"")"),0)</f>
        <v>0</v>
      </c>
      <c r="J117" s="146">
        <f ca="1">IFERROR(__xludf.DUMMYFUNCTION("IMPORTRANGE(""https://docs.google.com/spreadsheets/d/1IYY_tgx_IHuhSq3AJ5eI5OnqOPBNLWSHKh2a30DoXe8/edit?usp=sharing"",""นราธิวาส!J52"")"),0)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IFERROR(__xludf.DUMMYFUNCTION("IMPORTRANGE(""https://docs.google.com/spreadsheets/d/1Yj_ptqi66GCucihVvJfMjLAmec39IyEx_6qawtMGysU/edit?usp=sharing"",""สบก!BA85"")"),0)</f>
        <v>0</v>
      </c>
      <c r="N122" s="174">
        <f ca="1">IFERROR(__xludf.DUMMYFUNCTION("IMPORTRANGE(""https://docs.google.com/spreadsheets/d/1Yj_ptqi66GCucihVvJfMjLAmec39IyEx_6qawtMGysU/edit?usp=sharing"",""สบก!BB85"")"),0)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IFERROR(__xludf.DUMMYFUNCTION("IMPORTRANGE(""https://docs.google.com/spreadsheets/d/1Yj_ptqi66GCucihVvJfMjLAmec39IyEx_6qawtMGysU/edit?usp=sharing"",""สบก!AW85"")"),0)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IFERROR(__xludf.DUMMYFUNCTION("IMPORTRANGE(""https://docs.google.com/spreadsheets/d/1Yj_ptqi66GCucihVvJfMjLAmec39IyEx_6qawtMGysU/edit?usp=sharing"",""สบก!AX85"")"),0)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IFERROR(__xludf.DUMMYFUNCTION("IMPORTRANGE(""https://docs.google.com/spreadsheets/d/1Yj_ptqi66GCucihVvJfMjLAmec39IyEx_6qawtMGysU/edit?usp=sharing"",""สบก!AY85"")"),0)</f>
        <v>0</v>
      </c>
      <c r="M126" s="101"/>
      <c r="N126" s="91">
        <f ca="1">IFERROR(__xludf.DUMMYFUNCTION("IMPORTRANGE(""https://docs.google.com/spreadsheets/d/1Yj_ptqi66GCucihVvJfMjLAmec39IyEx_6qawtMGysU/edit?usp=sharing"",""สบก!BC85"")"),0)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247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IFERROR(__xludf.DUMMYFUNCTION("IMPORTRANGE(""https://docs.google.com/spreadsheets/d/1IYY_tgx_IHuhSq3AJ5eI5OnqOPBNLWSHKh2a30DoXe8/edit?usp=sharing"",""นราธิวาส!J58"")"),0)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IFERROR(__xludf.DUMMYFUNCTION("IMPORTRANGE(""https://docs.google.com/spreadsheets/d/1IYY_tgx_IHuhSq3AJ5eI5OnqOPBNLWSHKh2a30DoXe8/edit?usp=sharing"",""นราธิวาส!J59"")"),0)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IFERROR(__xludf.DUMMYFUNCTION("IMPORTRANGE(""https://docs.google.com/spreadsheets/d/1IYY_tgx_IHuhSq3AJ5eI5OnqOPBNLWSHKh2a30DoXe8/edit?usp=sharing"",""นราธิวาส!J60"")"),0)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IFERROR(__xludf.DUMMYFUNCTION("IMPORTRANGE(""https://docs.google.com/spreadsheets/d/1IYY_tgx_IHuhSq3AJ5eI5OnqOPBNLWSHKh2a30DoXe8/edit?usp=sharing"",""นราธิวาส!J61"")"),0)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IFERROR(__xludf.DUMMYFUNCTION("IMPORTRANGE(""https://docs.google.com/spreadsheets/d/1IYY_tgx_IHuhSq3AJ5eI5OnqOPBNLWSHKh2a30DoXe8/edit?usp=sharing"",""นราธิวาส!I62"")"),0)</f>
        <v>0</v>
      </c>
      <c r="J132" s="210">
        <f ca="1">IFERROR(__xludf.DUMMYFUNCTION("IMPORTRANGE(""https://docs.google.com/spreadsheets/d/1IYY_tgx_IHuhSq3AJ5eI5OnqOPBNLWSHKh2a30DoXe8/edit?usp=sharing"",""นราธิวาส!J62"")"),0)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IFERROR(__xludf.DUMMYFUNCTION("IMPORTRANGE(""https://docs.google.com/spreadsheets/d/1IYY_tgx_IHuhSq3AJ5eI5OnqOPBNLWSHKh2a30DoXe8/edit?usp=sharing"",""นราธิวาส!I63"")"),0)</f>
        <v>0</v>
      </c>
      <c r="J133" s="210">
        <f ca="1">IFERROR(__xludf.DUMMYFUNCTION("IMPORTRANGE(""https://docs.google.com/spreadsheets/d/1IYY_tgx_IHuhSq3AJ5eI5OnqOPBNLWSHKh2a30DoXe8/edit?usp=sharing"",""นราธิวาส!J63"")"),0)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IFERROR(__xludf.DUMMYFUNCTION("IMPORTRANGE(""https://docs.google.com/spreadsheets/d/1IYY_tgx_IHuhSq3AJ5eI5OnqOPBNLWSHKh2a30DoXe8/edit?usp=sharing"",""นราธิวาส!J64"")"),0)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IFERROR(__xludf.DUMMYFUNCTION("IMPORTRANGE(""https://docs.google.com/spreadsheets/d/1IYY_tgx_IHuhSq3AJ5eI5OnqOPBNLWSHKh2a30DoXe8/edit?usp=sharing"",""นราธิวาส!J65"")"),0)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IFERROR(__xludf.DUMMYFUNCTION("IMPORTRANGE(""https://docs.google.com/spreadsheets/d/1IYY_tgx_IHuhSq3AJ5eI5OnqOPBNLWSHKh2a30DoXe8/edit?usp=sharing"",""นราธิวาส!I68"")"),0)</f>
        <v>0</v>
      </c>
      <c r="J138" s="273">
        <f ca="1">IFERROR(__xludf.DUMMYFUNCTION("IMPORTRANGE(""https://docs.google.com/spreadsheets/d/1IYY_tgx_IHuhSq3AJ5eI5OnqOPBNLWSHKh2a30DoXe8/edit?usp=sharing"",""นราธิวาส!J68"")"),0)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43000</v>
      </c>
      <c r="M140" s="156">
        <f t="shared" ca="1" si="64"/>
        <v>41625</v>
      </c>
      <c r="N140" s="156">
        <f t="shared" ca="1" si="64"/>
        <v>38900</v>
      </c>
      <c r="O140" s="155">
        <f t="shared" ref="O140:O142" ca="1" si="65">IF(L140&gt;0,N140*100/L140,0)</f>
        <v>90.465116279069761</v>
      </c>
      <c r="P140" s="155">
        <f t="shared" ref="P140:P142" ca="1" si="66">IF(M140&gt;0,N140*100/M140,0)</f>
        <v>93.453453453453449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43000</v>
      </c>
      <c r="M142" s="161">
        <f t="shared" ca="1" si="68"/>
        <v>41625</v>
      </c>
      <c r="N142" s="161">
        <f t="shared" ca="1" si="68"/>
        <v>38900</v>
      </c>
      <c r="O142" s="160">
        <f t="shared" ca="1" si="65"/>
        <v>90.465116279069761</v>
      </c>
      <c r="P142" s="160">
        <f t="shared" ca="1" si="66"/>
        <v>93.453453453453449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IFERROR(__xludf.DUMMYFUNCTION("IMPORTRANGE(""https://docs.google.com/spreadsheets/d/1Yj_ptqi66GCucihVvJfMjLAmec39IyEx_6qawtMGysU/edit?usp=sharing"",""สบก!BJ85"")"),41625)</f>
        <v>41625</v>
      </c>
      <c r="N144" s="174">
        <f ca="1">IFERROR(__xludf.DUMMYFUNCTION("IMPORTRANGE(""https://docs.google.com/spreadsheets/d/1Yj_ptqi66GCucihVvJfMjLAmec39IyEx_6qawtMGysU/edit?usp=sharing"",""สบก!BK85"")"),38900)</f>
        <v>38900</v>
      </c>
      <c r="O144" s="175">
        <f ca="1">IF(L144&gt;0,N144*100/L144,0)</f>
        <v>90.465116279069761</v>
      </c>
      <c r="P144" s="175">
        <f ca="1">IF(M144&gt;0,N144*100/M144,0)</f>
        <v>93.453453453453449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IFERROR(__xludf.DUMMYFUNCTION("IMPORTRANGE(""https://docs.google.com/spreadsheets/d/1Yj_ptqi66GCucihVvJfMjLAmec39IyEx_6qawtMGysU/edit?usp=sharing"",""สบก!BF85"")"),0)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IFERROR(__xludf.DUMMYFUNCTION("IMPORTRANGE(""https://docs.google.com/spreadsheets/d/1Yj_ptqi66GCucihVvJfMjLAmec39IyEx_6qawtMGysU/edit?usp=sharing"",""สบก!BG85"")"),43000)</f>
        <v>43000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IFERROR(__xludf.DUMMYFUNCTION("IMPORTRANGE(""https://docs.google.com/spreadsheets/d/1Yj_ptqi66GCucihVvJfMjLAmec39IyEx_6qawtMGysU/edit?usp=sharing"",""สบก!BH85"")"),0)</f>
        <v>0</v>
      </c>
      <c r="M148" s="101"/>
      <c r="N148" s="91">
        <f ca="1">IFERROR(__xludf.DUMMYFUNCTION("IMPORTRANGE(""https://docs.google.com/spreadsheets/d/1Yj_ptqi66GCucihVvJfMjLAmec39IyEx_6qawtMGysU/edit?usp=sharing"",""สบก!BL85"")"),0)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IFERROR(__xludf.DUMMYFUNCTION("IMPORTRANGE(""https://docs.google.com/spreadsheets/d/1IYY_tgx_IHuhSq3AJ5eI5OnqOPBNLWSHKh2a30DoXe8/edit?usp=sharing"",""นราธิวาส!I74"")"),4)</f>
        <v>4</v>
      </c>
      <c r="J149" s="281">
        <f ca="1">IFERROR(__xludf.DUMMYFUNCTION("IMPORTRANGE(""https://docs.google.com/spreadsheets/d/1IYY_tgx_IHuhSq3AJ5eI5OnqOPBNLWSHKh2a30DoXe8/edit?usp=sharing"",""นราธิวาส!J74"")"),2)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IFERROR(__xludf.DUMMYFUNCTION("IMPORTRANGE(""https://docs.google.com/spreadsheets/d/1IYY_tgx_IHuhSq3AJ5eI5OnqOPBNLWSHKh2a30DoXe8/edit?usp=sharing"",""นราธิวาส!J79"")"),0)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IFERROR(__xludf.DUMMYFUNCTION("IMPORTRANGE(""https://docs.google.com/spreadsheets/d/1IYY_tgx_IHuhSq3AJ5eI5OnqOPBNLWSHKh2a30DoXe8/edit?usp=sharing"",""นราธิวาส!J80"")"),1)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IFERROR(__xludf.DUMMYFUNCTION("IMPORTRANGE(""https://docs.google.com/spreadsheets/d/1IYY_tgx_IHuhSq3AJ5eI5OnqOPBNLWSHKh2a30DoXe8/edit?usp=sharing"",""นราธิวาส!J81"")"),1)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IFERROR(__xludf.DUMMYFUNCTION("IMPORTRANGE(""https://docs.google.com/spreadsheets/d/1IYY_tgx_IHuhSq3AJ5eI5OnqOPBNLWSHKh2a30DoXe8/edit?usp=sharing"",""นราธิวาส!J82"")"),1)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IFERROR(__xludf.DUMMYFUNCTION("IMPORTRANGE(""https://docs.google.com/spreadsheets/d/1IYY_tgx_IHuhSq3AJ5eI5OnqOPBNLWSHKh2a30DoXe8/edit?usp=sharing"",""นราธิวาส!I83"")"),4)</f>
        <v>4</v>
      </c>
      <c r="J158" s="195">
        <f ca="1">IFERROR(__xludf.DUMMYFUNCTION("IMPORTRANGE(""https://docs.google.com/spreadsheets/d/1IYY_tgx_IHuhSq3AJ5eI5OnqOPBNLWSHKh2a30DoXe8/edit?usp=sharing"",""นราธิวาส!J83"")"),2)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IFERROR(__xludf.DUMMYFUNCTION("IMPORTRANGE(""https://docs.google.com/spreadsheets/d/1IYY_tgx_IHuhSq3AJ5eI5OnqOPBNLWSHKh2a30DoXe8/edit?usp=sharing"",""นราธิวาส!J84"")"),91)</f>
        <v>91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IFERROR(__xludf.DUMMYFUNCTION("IMPORTRANGE(""https://docs.google.com/spreadsheets/d/1IYY_tgx_IHuhSq3AJ5eI5OnqOPBNLWSHKh2a30DoXe8/edit?usp=sharing"",""นราธิวาส!J85"")"),91)</f>
        <v>91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IFERROR(__xludf.DUMMYFUNCTION("IMPORTRANGE(""https://docs.google.com/spreadsheets/d/1IYY_tgx_IHuhSq3AJ5eI5OnqOPBNLWSHKh2a30DoXe8/edit?usp=sharing"",""นราธิวาส!J86"")"),0)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IFERROR(__xludf.DUMMYFUNCTION("IMPORTRANGE(""https://docs.google.com/spreadsheets/d/1IYY_tgx_IHuhSq3AJ5eI5OnqOPBNLWSHKh2a30DoXe8/edit?usp=sharing"",""นราธิวาส!J87"")"),0)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IFERROR(__xludf.DUMMYFUNCTION("IMPORTRANGE(""https://docs.google.com/spreadsheets/d/1IYY_tgx_IHuhSq3AJ5eI5OnqOPBNLWSHKh2a30DoXe8/edit?usp=sharing"",""นราธิวาส!J88"")"),0)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IFERROR(__xludf.DUMMYFUNCTION("IMPORTRANGE(""https://docs.google.com/spreadsheets/d/1IYY_tgx_IHuhSq3AJ5eI5OnqOPBNLWSHKh2a30DoXe8/edit?usp=sharing"",""นราธิวาส!I89"")"),2)</f>
        <v>2</v>
      </c>
      <c r="J164" s="290">
        <f ca="1">IFERROR(__xludf.DUMMYFUNCTION("IMPORTRANGE(""https://docs.google.com/spreadsheets/d/1IYY_tgx_IHuhSq3AJ5eI5OnqOPBNLWSHKh2a30DoXe8/edit?usp=sharing"",""นราธิวาส!J89"")"),2)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IFERROR(__xludf.DUMMYFUNCTION("IMPORTRANGE(""https://docs.google.com/spreadsheets/d/1IYY_tgx_IHuhSq3AJ5eI5OnqOPBNLWSHKh2a30DoXe8/edit?usp=sharing"",""นราธิวาส!J94"")"),0)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IFERROR(__xludf.DUMMYFUNCTION("IMPORTRANGE(""https://docs.google.com/spreadsheets/d/1IYY_tgx_IHuhSq3AJ5eI5OnqOPBNLWSHKh2a30DoXe8/edit?usp=sharing"",""นราธิวาส!J95"")"),1)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IFERROR(__xludf.DUMMYFUNCTION("IMPORTRANGE(""https://docs.google.com/spreadsheets/d/1IYY_tgx_IHuhSq3AJ5eI5OnqOPBNLWSHKh2a30DoXe8/edit?usp=sharing"",""นราธิวาส!J96"")"),1)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IFERROR(__xludf.DUMMYFUNCTION("IMPORTRANGE(""https://docs.google.com/spreadsheets/d/1IYY_tgx_IHuhSq3AJ5eI5OnqOPBNLWSHKh2a30DoXe8/edit?usp=sharing"",""นราธิวาส!J97"")"),1)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IFERROR(__xludf.DUMMYFUNCTION("IMPORTRANGE(""https://docs.google.com/spreadsheets/d/1IYY_tgx_IHuhSq3AJ5eI5OnqOPBNLWSHKh2a30DoXe8/edit?usp=sharing"",""นราธิวาส!I98"")"),2)</f>
        <v>2</v>
      </c>
      <c r="J173" s="195">
        <f ca="1">IFERROR(__xludf.DUMMYFUNCTION("IMPORTRANGE(""https://docs.google.com/spreadsheets/d/1IYY_tgx_IHuhSq3AJ5eI5OnqOPBNLWSHKh2a30DoXe8/edit?usp=sharing"",""นราธิวาส!J98"")"),2)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IFERROR(__xludf.DUMMYFUNCTION("IMPORTRANGE(""https://docs.google.com/spreadsheets/d/1IYY_tgx_IHuhSq3AJ5eI5OnqOPBNLWSHKh2a30DoXe8/edit?usp=sharing"",""นราธิวาส!J99"")"),0)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IFERROR(__xludf.DUMMYFUNCTION("IMPORTRANGE(""https://docs.google.com/spreadsheets/d/1IYY_tgx_IHuhSq3AJ5eI5OnqOPBNLWSHKh2a30DoXe8/edit?usp=sharing"",""นราธิวาส!J100"")"),0)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IFERROR(__xludf.DUMMYFUNCTION("IMPORTRANGE(""https://docs.google.com/spreadsheets/d/1IYY_tgx_IHuhSq3AJ5eI5OnqOPBNLWSHKh2a30DoXe8/edit?usp=sharing"",""นราธิวาส!I101"")"),0)</f>
        <v>0</v>
      </c>
      <c r="J176" s="290">
        <f ca="1">IFERROR(__xludf.DUMMYFUNCTION("IMPORTRANGE(""https://docs.google.com/spreadsheets/d/1IYY_tgx_IHuhSq3AJ5eI5OnqOPBNLWSHKh2a30DoXe8/edit?usp=sharing"",""นราธิวาส!J101"")"),0)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IFERROR(__xludf.DUMMYFUNCTION("IMPORTRANGE(""https://docs.google.com/spreadsheets/d/1IYY_tgx_IHuhSq3AJ5eI5OnqOPBNLWSHKh2a30DoXe8/edit?usp=sharing"",""นราธิวาส!J106"")"),0)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IFERROR(__xludf.DUMMYFUNCTION("IMPORTRANGE(""https://docs.google.com/spreadsheets/d/1IYY_tgx_IHuhSq3AJ5eI5OnqOPBNLWSHKh2a30DoXe8/edit?usp=sharing"",""นราธิวาส!J107"")"),0)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IFERROR(__xludf.DUMMYFUNCTION("IMPORTRANGE(""https://docs.google.com/spreadsheets/d/1IYY_tgx_IHuhSq3AJ5eI5OnqOPBNLWSHKh2a30DoXe8/edit?usp=sharing"",""นราธิวาส!J108"")"),0)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IFERROR(__xludf.DUMMYFUNCTION("IMPORTRANGE(""https://docs.google.com/spreadsheets/d/1IYY_tgx_IHuhSq3AJ5eI5OnqOPBNLWSHKh2a30DoXe8/edit?usp=sharing"",""นราธิวาส!J109"")"),0)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IFERROR(__xludf.DUMMYFUNCTION("IMPORTRANGE(""https://docs.google.com/spreadsheets/d/1IYY_tgx_IHuhSq3AJ5eI5OnqOPBNLWSHKh2a30DoXe8/edit?usp=sharing"",""นราธิวาส!I110"")"),0)</f>
        <v>0</v>
      </c>
      <c r="J185" s="210">
        <f ca="1">IFERROR(__xludf.DUMMYFUNCTION("IMPORTRANGE(""https://docs.google.com/spreadsheets/d/1IYY_tgx_IHuhSq3AJ5eI5OnqOPBNLWSHKh2a30DoXe8/edit?usp=sharing"",""นราธิวาส!J110"")"),0)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IFERROR(__xludf.DUMMYFUNCTION("IMPORTRANGE(""https://docs.google.com/spreadsheets/d/1IYY_tgx_IHuhSq3AJ5eI5OnqOPBNLWSHKh2a30DoXe8/edit?usp=sharing"",""นราธิวาส!I111"")"),0)</f>
        <v>0</v>
      </c>
      <c r="J186" s="210">
        <f ca="1">IFERROR(__xludf.DUMMYFUNCTION("IMPORTRANGE(""https://docs.google.com/spreadsheets/d/1IYY_tgx_IHuhSq3AJ5eI5OnqOPBNLWSHKh2a30DoXe8/edit?usp=sharing"",""นราธิวาส!J111"")"),0)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IFERROR(__xludf.DUMMYFUNCTION("IMPORTRANGE(""https://docs.google.com/spreadsheets/d/1IYY_tgx_IHuhSq3AJ5eI5OnqOPBNLWSHKh2a30DoXe8/edit?usp=sharing"",""นราธิวาส!J112"")"),0)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IFERROR(__xludf.DUMMYFUNCTION("IMPORTRANGE(""https://docs.google.com/spreadsheets/d/1IYY_tgx_IHuhSq3AJ5eI5OnqOPBNLWSHKh2a30DoXe8/edit?usp=sharing"",""นราธิวาส!J113"")"),0)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IFERROR(__xludf.DUMMYFUNCTION("IMPORTRANGE(""https://docs.google.com/spreadsheets/d/1IYY_tgx_IHuhSq3AJ5eI5OnqOPBNLWSHKh2a30DoXe8/edit?usp=sharing"",""นราธิวาส!I114"")"),10000)</f>
        <v>10000</v>
      </c>
      <c r="J189" s="290">
        <f ca="1">IFERROR(__xludf.DUMMYFUNCTION("IMPORTRANGE(""https://docs.google.com/spreadsheets/d/1IYY_tgx_IHuhSq3AJ5eI5OnqOPBNLWSHKh2a30DoXe8/edit?usp=sharing"",""นราธิวาส!J114"")"),0)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IFERROR(__xludf.DUMMYFUNCTION("IMPORTRANGE(""https://docs.google.com/spreadsheets/d/1IYY_tgx_IHuhSq3AJ5eI5OnqOPBNLWSHKh2a30DoXe8/edit?usp=sharing"",""นราธิวาส!J119"")"),1)</f>
        <v>1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IFERROR(__xludf.DUMMYFUNCTION("IMPORTRANGE(""https://docs.google.com/spreadsheets/d/1IYY_tgx_IHuhSq3AJ5eI5OnqOPBNLWSHKh2a30DoXe8/edit?usp=sharing"",""นราธิวาส!J120"")"),0)</f>
        <v>0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IFERROR(__xludf.DUMMYFUNCTION("IMPORTRANGE(""https://docs.google.com/spreadsheets/d/1IYY_tgx_IHuhSq3AJ5eI5OnqOPBNLWSHKh2a30DoXe8/edit?usp=sharing"",""นราธิวาส!J121"")"),0)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IFERROR(__xludf.DUMMYFUNCTION("IMPORTRANGE(""https://docs.google.com/spreadsheets/d/1IYY_tgx_IHuhSq3AJ5eI5OnqOPBNLWSHKh2a30DoXe8/edit?usp=sharing"",""นราธิวาส!J122"")"),0)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IFERROR(__xludf.DUMMYFUNCTION("IMPORTRANGE(""https://docs.google.com/spreadsheets/d/1IYY_tgx_IHuhSq3AJ5eI5OnqOPBNLWSHKh2a30DoXe8/edit?usp=sharing"",""นราธิวาส!I124"")"),10000)</f>
        <v>10000</v>
      </c>
      <c r="J199" s="195">
        <f ca="1">IFERROR(__xludf.DUMMYFUNCTION("IMPORTRANGE(""https://docs.google.com/spreadsheets/d/1IYY_tgx_IHuhSq3AJ5eI5OnqOPBNLWSHKh2a30DoXe8/edit?usp=sharing"",""นราธิวาส!J124"")"),0)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IFERROR(__xludf.DUMMYFUNCTION("IMPORTRANGE(""https://docs.google.com/spreadsheets/d/1IYY_tgx_IHuhSq3AJ5eI5OnqOPBNLWSHKh2a30DoXe8/edit?usp=sharing"",""นราธิวาส!I125"")"),10000)</f>
        <v>10000</v>
      </c>
      <c r="J200" s="195">
        <f ca="1">IFERROR(__xludf.DUMMYFUNCTION("IMPORTRANGE(""https://docs.google.com/spreadsheets/d/1IYY_tgx_IHuhSq3AJ5eI5OnqOPBNLWSHKh2a30DoXe8/edit?usp=sharing"",""นราธิวาส!J125"")"),0)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IFERROR(__xludf.DUMMYFUNCTION("IMPORTRANGE(""https://docs.google.com/spreadsheets/d/1IYY_tgx_IHuhSq3AJ5eI5OnqOPBNLWSHKh2a30DoXe8/edit?usp=sharing"",""นราธิวาส!I126"")"),0)</f>
        <v>0</v>
      </c>
      <c r="J201" s="195">
        <f ca="1">IFERROR(__xludf.DUMMYFUNCTION("IMPORTRANGE(""https://docs.google.com/spreadsheets/d/1IYY_tgx_IHuhSq3AJ5eI5OnqOPBNLWSHKh2a30DoXe8/edit?usp=sharing"",""นราธิวาส!J126"")"),0)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IFERROR(__xludf.DUMMYFUNCTION("IMPORTRANGE(""https://docs.google.com/spreadsheets/d/1IYY_tgx_IHuhSq3AJ5eI5OnqOPBNLWSHKh2a30DoXe8/edit?usp=sharing"",""นราธิวาส!J127"")"),0)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IFERROR(__xludf.DUMMYFUNCTION("IMPORTRANGE(""https://docs.google.com/spreadsheets/d/1IYY_tgx_IHuhSq3AJ5eI5OnqOPBNLWSHKh2a30DoXe8/edit?usp=sharing"",""นราธิวาส!J128"")"),0)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IFERROR(__xludf.DUMMYFUNCTION("IMPORTRANGE(""https://docs.google.com/spreadsheets/d/1IYY_tgx_IHuhSq3AJ5eI5OnqOPBNLWSHKh2a30DoXe8/edit?usp=sharing"",""นราธิวาส!I129"")"),0)</f>
        <v>0</v>
      </c>
      <c r="J204" s="290">
        <f ca="1">IFERROR(__xludf.DUMMYFUNCTION("IMPORTRANGE(""https://docs.google.com/spreadsheets/d/1IYY_tgx_IHuhSq3AJ5eI5OnqOPBNLWSHKh2a30DoXe8/edit?usp=sharing"",""นราธิวาส!J129"")"),0)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IFERROR(__xludf.DUMMYFUNCTION("IMPORTRANGE(""https://docs.google.com/spreadsheets/d/1IYY_tgx_IHuhSq3AJ5eI5OnqOPBNLWSHKh2a30DoXe8/edit?usp=sharing"",""นราธิวาส!J134"")"),0)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IFERROR(__xludf.DUMMYFUNCTION("IMPORTRANGE(""https://docs.google.com/spreadsheets/d/1IYY_tgx_IHuhSq3AJ5eI5OnqOPBNLWSHKh2a30DoXe8/edit?usp=sharing"",""นราธิวาส!J135"")"),0)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IFERROR(__xludf.DUMMYFUNCTION("IMPORTRANGE(""https://docs.google.com/spreadsheets/d/1IYY_tgx_IHuhSq3AJ5eI5OnqOPBNLWSHKh2a30DoXe8/edit?usp=sharing"",""นราธิวาส!J136"")"),0)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IFERROR(__xludf.DUMMYFUNCTION("IMPORTRANGE(""https://docs.google.com/spreadsheets/d/1IYY_tgx_IHuhSq3AJ5eI5OnqOPBNLWSHKh2a30DoXe8/edit?usp=sharing"",""นราธิวาส!J137"")"),0)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IFERROR(__xludf.DUMMYFUNCTION("IMPORTRANGE(""https://docs.google.com/spreadsheets/d/1IYY_tgx_IHuhSq3AJ5eI5OnqOPBNLWSHKh2a30DoXe8/edit?usp=sharing"",""นราธิวาส!I138"")"),0)</f>
        <v>0</v>
      </c>
      <c r="J213" s="210">
        <f ca="1">IFERROR(__xludf.DUMMYFUNCTION("IMPORTRANGE(""https://docs.google.com/spreadsheets/d/1IYY_tgx_IHuhSq3AJ5eI5OnqOPBNLWSHKh2a30DoXe8/edit?usp=sharing"",""นราธิวาส!J138"")"),0)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IFERROR(__xludf.DUMMYFUNCTION("IMPORTRANGE(""https://docs.google.com/spreadsheets/d/1IYY_tgx_IHuhSq3AJ5eI5OnqOPBNLWSHKh2a30DoXe8/edit?usp=sharing"",""นราธิวาส!I140"")"),0)</f>
        <v>0</v>
      </c>
      <c r="J215" s="210">
        <f ca="1">IFERROR(__xludf.DUMMYFUNCTION("IMPORTRANGE(""https://docs.google.com/spreadsheets/d/1IYY_tgx_IHuhSq3AJ5eI5OnqOPBNLWSHKh2a30DoXe8/edit?usp=sharing"",""นราธิวาส!J140"")"),0)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IFERROR(__xludf.DUMMYFUNCTION("IMPORTRANGE(""https://docs.google.com/spreadsheets/d/1IYY_tgx_IHuhSq3AJ5eI5OnqOPBNLWSHKh2a30DoXe8/edit?usp=sharing"",""นราธิวาส!I141"")"),0)</f>
        <v>0</v>
      </c>
      <c r="J216" s="210">
        <f ca="1">IFERROR(__xludf.DUMMYFUNCTION("IMPORTRANGE(""https://docs.google.com/spreadsheets/d/1IYY_tgx_IHuhSq3AJ5eI5OnqOPBNLWSHKh2a30DoXe8/edit?usp=sharing"",""นราธิวาส!J141"")"),0)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IFERROR(__xludf.DUMMYFUNCTION("IMPORTRANGE(""https://docs.google.com/spreadsheets/d/1IYY_tgx_IHuhSq3AJ5eI5OnqOPBNLWSHKh2a30DoXe8/edit?usp=sharing"",""นราธิวาส!J142"")"),0)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IFERROR(__xludf.DUMMYFUNCTION("IMPORTRANGE(""https://docs.google.com/spreadsheets/d/1IYY_tgx_IHuhSq3AJ5eI5OnqOPBNLWSHKh2a30DoXe8/edit?usp=sharing"",""นราธิวาส!J143"")"),0)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IFERROR(__xludf.DUMMYFUNCTION("IMPORTRANGE(""https://docs.google.com/spreadsheets/d/1IYY_tgx_IHuhSq3AJ5eI5OnqOPBNLWSHKh2a30DoXe8/edit?usp=sharing"",""นราธิวาส!I144"")"),15)</f>
        <v>15</v>
      </c>
      <c r="J219" s="273">
        <f ca="1">IFERROR(__xludf.DUMMYFUNCTION("IMPORTRANGE(""https://docs.google.com/spreadsheets/d/1IYY_tgx_IHuhSq3AJ5eI5OnqOPBNLWSHKh2a30DoXe8/edit?usp=sharing"",""นราธิวาส!J144"")"),15)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IFERROR(__xludf.DUMMYFUNCTION("IMPORTRANGE(""https://docs.google.com/spreadsheets/d/1Yj_ptqi66GCucihVvJfMjLAmec39IyEx_6qawtMGysU/edit?usp=sharing"",""สบก!BS85"")"),21125)</f>
        <v>21125</v>
      </c>
      <c r="N224" s="174">
        <f ca="1">IFERROR(__xludf.DUMMYFUNCTION("IMPORTRANGE(""https://docs.google.com/spreadsheets/d/1Yj_ptqi66GCucihVvJfMjLAmec39IyEx_6qawtMGysU/edit?usp=sharing"",""สบก!BT85"")"),21125)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IFERROR(__xludf.DUMMYFUNCTION("IMPORTRANGE(""https://docs.google.com/spreadsheets/d/1Yj_ptqi66GCucihVvJfMjLAmec39IyEx_6qawtMGysU/edit?usp=sharing"",""สบก!BO85"")"),0)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IFERROR(__xludf.DUMMYFUNCTION("IMPORTRANGE(""https://docs.google.com/spreadsheets/d/1Yj_ptqi66GCucihVvJfMjLAmec39IyEx_6qawtMGysU/edit?usp=sharing"",""สบก!BP85"")"),21125)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IFERROR(__xludf.DUMMYFUNCTION("IMPORTRANGE(""https://docs.google.com/spreadsheets/d/1Yj_ptqi66GCucihVvJfMjLAmec39IyEx_6qawtMGysU/edit?usp=sharing"",""สบก!BQ85"")"),0)</f>
        <v>0</v>
      </c>
      <c r="M228" s="101"/>
      <c r="N228" s="91">
        <f ca="1">IFERROR(__xludf.DUMMYFUNCTION("IMPORTRANGE(""https://docs.google.com/spreadsheets/d/1Yj_ptqi66GCucihVvJfMjLAmec39IyEx_6qawtMGysU/edit?usp=sharing"",""สบก!BU85"")"),0)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IFERROR(__xludf.DUMMYFUNCTION("IMPORTRANGE(""https://docs.google.com/spreadsheets/d/1IYY_tgx_IHuhSq3AJ5eI5OnqOPBNLWSHKh2a30DoXe8/edit?usp=sharing"",""นราธิวาส!I149"")"),15)</f>
        <v>15</v>
      </c>
      <c r="J229" s="273">
        <f ca="1">IFERROR(__xludf.DUMMYFUNCTION("IMPORTRANGE(""https://docs.google.com/spreadsheets/d/1IYY_tgx_IHuhSq3AJ5eI5OnqOPBNLWSHKh2a30DoXe8/edit?usp=sharing"",""นราธิวาส!J149"")"),15)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IFERROR(__xludf.DUMMYFUNCTION("IMPORTRANGE(""https://docs.google.com/spreadsheets/d/1IYY_tgx_IHuhSq3AJ5eI5OnqOPBNLWSHKh2a30DoXe8/edit?usp=sharing"",""นราธิวาส!J151"")"),0)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IFERROR(__xludf.DUMMYFUNCTION("IMPORTRANGE(""https://docs.google.com/spreadsheets/d/1IYY_tgx_IHuhSq3AJ5eI5OnqOPBNLWSHKh2a30DoXe8/edit?usp=sharing"",""นราธิวาส!J152"")"),1)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IFERROR(__xludf.DUMMYFUNCTION("IMPORTRANGE(""https://docs.google.com/spreadsheets/d/1IYY_tgx_IHuhSq3AJ5eI5OnqOPBNLWSHKh2a30DoXe8/edit?usp=sharing"",""นราธิวาส!J153"")"),1)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IFERROR(__xludf.DUMMYFUNCTION("IMPORTRANGE(""https://docs.google.com/spreadsheets/d/1IYY_tgx_IHuhSq3AJ5eI5OnqOPBNLWSHKh2a30DoXe8/edit?usp=sharing"",""นราธิวาส!J154"")"),1)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IFERROR(__xludf.DUMMYFUNCTION("IMPORTRANGE(""https://docs.google.com/spreadsheets/d/1IYY_tgx_IHuhSq3AJ5eI5OnqOPBNLWSHKh2a30DoXe8/edit?usp=sharing"",""นราธิวาส!I155"")"),15)</f>
        <v>15</v>
      </c>
      <c r="J235" s="195">
        <f ca="1">IFERROR(__xludf.DUMMYFUNCTION("IMPORTRANGE(""https://docs.google.com/spreadsheets/d/1IYY_tgx_IHuhSq3AJ5eI5OnqOPBNLWSHKh2a30DoXe8/edit?usp=sharing"",""นราธิวาส!J155"")"),15)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IFERROR(__xludf.DUMMYFUNCTION("IMPORTRANGE(""https://docs.google.com/spreadsheets/d/1IYY_tgx_IHuhSq3AJ5eI5OnqOPBNLWSHKh2a30DoXe8/edit?usp=sharing"",""นราธิวาส!J156"")"),0)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IFERROR(__xludf.DUMMYFUNCTION("IMPORTRANGE(""https://docs.google.com/spreadsheets/d/1IYY_tgx_IHuhSq3AJ5eI5OnqOPBNLWSHKh2a30DoXe8/edit?usp=sharing"",""นราธิวาส!J157"")"),0)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IFERROR(__xludf.DUMMYFUNCTION("IMPORTRANGE(""https://docs.google.com/spreadsheets/d/1IYY_tgx_IHuhSq3AJ5eI5OnqOPBNLWSHKh2a30DoXe8/edit?usp=sharing"",""นราธิวาส!I158"")"),0)</f>
        <v>0</v>
      </c>
      <c r="J238" s="273">
        <f ca="1">IFERROR(__xludf.DUMMYFUNCTION("IMPORTRANGE(""https://docs.google.com/spreadsheets/d/1IYY_tgx_IHuhSq3AJ5eI5OnqOPBNLWSHKh2a30DoXe8/edit?usp=sharing"",""นราธิวาส!J158"")"),0)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IFERROR(__xludf.DUMMYFUNCTION("IMPORTRANGE(""https://docs.google.com/spreadsheets/d/1IYY_tgx_IHuhSq3AJ5eI5OnqOPBNLWSHKh2a30DoXe8/edit?usp=sharing"",""นราธิวาส!J159"")"),"")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IFERROR(__xludf.DUMMYFUNCTION("IMPORTRANGE(""https://docs.google.com/spreadsheets/d/1IYY_tgx_IHuhSq3AJ5eI5OnqOPBNLWSHKh2a30DoXe8/edit?usp=sharing"",""นราธิวาส!J161"")"),0)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IFERROR(__xludf.DUMMYFUNCTION("IMPORTRANGE(""https://docs.google.com/spreadsheets/d/1IYY_tgx_IHuhSq3AJ5eI5OnqOPBNLWSHKh2a30DoXe8/edit?usp=sharing"",""นราธิวาส!J162"")"),0)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IFERROR(__xludf.DUMMYFUNCTION("IMPORTRANGE(""https://docs.google.com/spreadsheets/d/1IYY_tgx_IHuhSq3AJ5eI5OnqOPBNLWSHKh2a30DoXe8/edit?usp=sharing"",""นราธิวาส!J163"")"),0)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IFERROR(__xludf.DUMMYFUNCTION("IMPORTRANGE(""https://docs.google.com/spreadsheets/d/1IYY_tgx_IHuhSq3AJ5eI5OnqOPBNLWSHKh2a30DoXe8/edit?usp=sharing"",""นราธิวาส!I164"")"),0)</f>
        <v>0</v>
      </c>
      <c r="J244" s="194">
        <f ca="1">IFERROR(__xludf.DUMMYFUNCTION("IMPORTRANGE(""https://docs.google.com/spreadsheets/d/1IYY_tgx_IHuhSq3AJ5eI5OnqOPBNLWSHKh2a30DoXe8/edit?usp=sharing"",""นราธิวาส!J164"")"),0)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IFERROR(__xludf.DUMMYFUNCTION("IMPORTRANGE(""https://docs.google.com/spreadsheets/d/1IYY_tgx_IHuhSq3AJ5eI5OnqOPBNLWSHKh2a30DoXe8/edit?usp=sharing"",""นราธิวาส!J165"")"),0)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IFERROR(__xludf.DUMMYFUNCTION("IMPORTRANGE(""https://docs.google.com/spreadsheets/d/1IYY_tgx_IHuhSq3AJ5eI5OnqOPBNLWSHKh2a30DoXe8/edit?usp=sharing"",""นราธิวาส!J166"")"),0)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IFERROR(__xludf.DUMMYFUNCTION("IMPORTRANGE(""https://docs.google.com/spreadsheets/d/1IYY_tgx_IHuhSq3AJ5eI5OnqOPBNLWSHKh2a30DoXe8/edit?usp=sharing"",""นราธิวาส!I169"")"),0)</f>
        <v>0</v>
      </c>
      <c r="J249" s="322">
        <f ca="1">IFERROR(__xludf.DUMMYFUNCTION("IMPORTRANGE(""https://docs.google.com/spreadsheets/d/1IYY_tgx_IHuhSq3AJ5eI5OnqOPBNLWSHKh2a30DoXe8/edit?usp=sharing"",""นราธิวาส!J169"")"),0)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IFERROR(__xludf.DUMMYFUNCTION("IMPORTRANGE(""https://docs.google.com/spreadsheets/d/1Yj_ptqi66GCucihVvJfMjLAmec39IyEx_6qawtMGysU/edit?usp=sharing"",""สบก!CB85"")"),0)</f>
        <v>0</v>
      </c>
      <c r="N254" s="174">
        <f ca="1">IFERROR(__xludf.DUMMYFUNCTION("IMPORTRANGE(""https://docs.google.com/spreadsheets/d/1Yj_ptqi66GCucihVvJfMjLAmec39IyEx_6qawtMGysU/edit?usp=sharing"",""สบก!CC85"")"),0)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IFERROR(__xludf.DUMMYFUNCTION("IMPORTRANGE(""https://docs.google.com/spreadsheets/d/1Yj_ptqi66GCucihVvJfMjLAmec39IyEx_6qawtMGysU/edit?usp=sharing"",""สบก!BX85"")"),0)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IFERROR(__xludf.DUMMYFUNCTION("IMPORTRANGE(""https://docs.google.com/spreadsheets/d/1Yj_ptqi66GCucihVvJfMjLAmec39IyEx_6qawtMGysU/edit?usp=sharing"",""สบก!BY85"")"),0)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IFERROR(__xludf.DUMMYFUNCTION("IMPORTRANGE(""https://docs.google.com/spreadsheets/d/1Yj_ptqi66GCucihVvJfMjLAmec39IyEx_6qawtMGysU/edit?usp=sharing"",""สบก!BZ85"")"),0)</f>
        <v>0</v>
      </c>
      <c r="M258" s="101"/>
      <c r="N258" s="91">
        <f ca="1">IFERROR(__xludf.DUMMYFUNCTION("IMPORTRANGE(""https://docs.google.com/spreadsheets/d/1Yj_ptqi66GCucihVvJfMjLAmec39IyEx_6qawtMGysU/edit?usp=sharing"",""สบก!CD85"")"),0)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IFERROR(__xludf.DUMMYFUNCTION("IMPORTRANGE(""https://docs.google.com/spreadsheets/d/1IYY_tgx_IHuhSq3AJ5eI5OnqOPBNLWSHKh2a30DoXe8/edit?usp=sharing"",""นราธิวาส!J175"")"),0)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IFERROR(__xludf.DUMMYFUNCTION("IMPORTRANGE(""https://docs.google.com/spreadsheets/d/1IYY_tgx_IHuhSq3AJ5eI5OnqOPBNLWSHKh2a30DoXe8/edit?usp=sharing"",""นราธิวาส!J176"")"),0)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IFERROR(__xludf.DUMMYFUNCTION("IMPORTRANGE(""https://docs.google.com/spreadsheets/d/1IYY_tgx_IHuhSq3AJ5eI5OnqOPBNLWSHKh2a30DoXe8/edit?usp=sharing"",""นราธิวาส!J177"")"),0)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IFERROR(__xludf.DUMMYFUNCTION("IMPORTRANGE(""https://docs.google.com/spreadsheets/d/1IYY_tgx_IHuhSq3AJ5eI5OnqOPBNLWSHKh2a30DoXe8/edit?usp=sharing"",""นราธิวาส!J178"")"),0)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IFERROR(__xludf.DUMMYFUNCTION("IMPORTRANGE(""https://docs.google.com/spreadsheets/d/1IYY_tgx_IHuhSq3AJ5eI5OnqOPBNLWSHKh2a30DoXe8/edit?usp=sharing"",""นราธิวาส!I179"")"),0)</f>
        <v>0</v>
      </c>
      <c r="J264" s="195">
        <f ca="1">IFERROR(__xludf.DUMMYFUNCTION("IMPORTRANGE(""https://docs.google.com/spreadsheets/d/1IYY_tgx_IHuhSq3AJ5eI5OnqOPBNLWSHKh2a30DoXe8/edit?usp=sharing"",""นราธิวาส!J179"")"),0)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IFERROR(__xludf.DUMMYFUNCTION("IMPORTRANGE(""https://docs.google.com/spreadsheets/d/1IYY_tgx_IHuhSq3AJ5eI5OnqOPBNLWSHKh2a30DoXe8/edit?usp=sharing"",""นราธิวาส!I180"")"),0)</f>
        <v>0</v>
      </c>
      <c r="J265" s="195">
        <f ca="1">IFERROR(__xludf.DUMMYFUNCTION("IMPORTRANGE(""https://docs.google.com/spreadsheets/d/1IYY_tgx_IHuhSq3AJ5eI5OnqOPBNLWSHKh2a30DoXe8/edit?usp=sharing"",""นราธิวาส!J180"")"),0)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IFERROR(__xludf.DUMMYFUNCTION("IMPORTRANGE(""https://docs.google.com/spreadsheets/d/1IYY_tgx_IHuhSq3AJ5eI5OnqOPBNLWSHKh2a30DoXe8/edit?usp=sharing"",""นราธิวาส!I181"")"),0)</f>
        <v>0</v>
      </c>
      <c r="J266" s="195">
        <f ca="1">IFERROR(__xludf.DUMMYFUNCTION("IMPORTRANGE(""https://docs.google.com/spreadsheets/d/1IYY_tgx_IHuhSq3AJ5eI5OnqOPBNLWSHKh2a30DoXe8/edit?usp=sharing"",""นราธิวาส!J181"")"),0)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IFERROR(__xludf.DUMMYFUNCTION("IMPORTRANGE(""https://docs.google.com/spreadsheets/d/1IYY_tgx_IHuhSq3AJ5eI5OnqOPBNLWSHKh2a30DoXe8/edit?usp=sharing"",""นราธิวาส!I182"")"),0)</f>
        <v>0</v>
      </c>
      <c r="J267" s="195">
        <f ca="1">IFERROR(__xludf.DUMMYFUNCTION("IMPORTRANGE(""https://docs.google.com/spreadsheets/d/1IYY_tgx_IHuhSq3AJ5eI5OnqOPBNLWSHKh2a30DoXe8/edit?usp=sharing"",""นราธิวาส!J182"")"),0)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IFERROR(__xludf.DUMMYFUNCTION("IMPORTRANGE(""https://docs.google.com/spreadsheets/d/1IYY_tgx_IHuhSq3AJ5eI5OnqOPBNLWSHKh2a30DoXe8/edit?usp=sharing"",""นราธิวาส!J183"")"),0)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IFERROR(__xludf.DUMMYFUNCTION("IMPORTRANGE(""https://docs.google.com/spreadsheets/d/1IYY_tgx_IHuhSq3AJ5eI5OnqOPBNLWSHKh2a30DoXe8/edit?usp=sharing"",""นราธิวาส!J184"")"),0)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IFERROR(__xludf.DUMMYFUNCTION("IMPORTRANGE(""https://docs.google.com/spreadsheets/d/1IYY_tgx_IHuhSq3AJ5eI5OnqOPBNLWSHKh2a30DoXe8/edit?usp=sharing"",""นราธิวาส!I185"")"),0)</f>
        <v>0</v>
      </c>
      <c r="J270" s="322">
        <f ca="1">IFERROR(__xludf.DUMMYFUNCTION("IMPORTRANGE(""https://docs.google.com/spreadsheets/d/1IYY_tgx_IHuhSq3AJ5eI5OnqOPBNLWSHKh2a30DoXe8/edit?usp=sharing"",""นราธิวาส!J185"")"),0)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IFERROR(__xludf.DUMMYFUNCTION("IMPORTRANGE(""https://docs.google.com/spreadsheets/d/1Yj_ptqi66GCucihVvJfMjLAmec39IyEx_6qawtMGysU/edit?usp=sharing"",""สบก!CK85"")"),0)</f>
        <v>0</v>
      </c>
      <c r="N275" s="174">
        <f ca="1">IFERROR(__xludf.DUMMYFUNCTION("IMPORTRANGE(""https://docs.google.com/spreadsheets/d/1Yj_ptqi66GCucihVvJfMjLAmec39IyEx_6qawtMGysU/edit?usp=sharing"",""สบก!CL85"")"),0)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IFERROR(__xludf.DUMMYFUNCTION("IMPORTRANGE(""https://docs.google.com/spreadsheets/d/1Yj_ptqi66GCucihVvJfMjLAmec39IyEx_6qawtMGysU/edit?usp=sharing"",""สบก!CG85"")"),0)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IFERROR(__xludf.DUMMYFUNCTION("IMPORTRANGE(""https://docs.google.com/spreadsheets/d/1Yj_ptqi66GCucihVvJfMjLAmec39IyEx_6qawtMGysU/edit?usp=sharing"",""สบก!CH85"")"),0)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IFERROR(__xludf.DUMMYFUNCTION("IMPORTRANGE(""https://docs.google.com/spreadsheets/d/1Yj_ptqi66GCucihVvJfMjLAmec39IyEx_6qawtMGysU/edit?usp=sharing"",""สบก!CI85"")"),0)</f>
        <v>0</v>
      </c>
      <c r="M279" s="101"/>
      <c r="N279" s="91">
        <f ca="1">IFERROR(__xludf.DUMMYFUNCTION("IMPORTRANGE(""https://docs.google.com/spreadsheets/d/1Yj_ptqi66GCucihVvJfMjLAmec39IyEx_6qawtMGysU/edit?usp=sharing"",""สบก!CM85"")"),0)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IFERROR(__xludf.DUMMYFUNCTION("IMPORTRANGE(""https://docs.google.com/spreadsheets/d/1IYY_tgx_IHuhSq3AJ5eI5OnqOPBNLWSHKh2a30DoXe8/edit?usp=sharing"",""นราธิวาส!J191"")"),0)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IFERROR(__xludf.DUMMYFUNCTION("IMPORTRANGE(""https://docs.google.com/spreadsheets/d/1IYY_tgx_IHuhSq3AJ5eI5OnqOPBNLWSHKh2a30DoXe8/edit?usp=sharing"",""นราธิวาส!J192"")"),0)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IFERROR(__xludf.DUMMYFUNCTION("IMPORTRANGE(""https://docs.google.com/spreadsheets/d/1IYY_tgx_IHuhSq3AJ5eI5OnqOPBNLWSHKh2a30DoXe8/edit?usp=sharing"",""นราธิวาส!J193"")"),0)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IFERROR(__xludf.DUMMYFUNCTION("IMPORTRANGE(""https://docs.google.com/spreadsheets/d/1IYY_tgx_IHuhSq3AJ5eI5OnqOPBNLWSHKh2a30DoXe8/edit?usp=sharing"",""นราธิวาส!J194"")"),0)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IFERROR(__xludf.DUMMYFUNCTION("IMPORTRANGE(""https://docs.google.com/spreadsheets/d/1IYY_tgx_IHuhSq3AJ5eI5OnqOPBNLWSHKh2a30DoXe8/edit?usp=sharing"",""นราธิวาส!I195"")"),0)</f>
        <v>0</v>
      </c>
      <c r="J285" s="195">
        <f ca="1">IFERROR(__xludf.DUMMYFUNCTION("IMPORTRANGE(""https://docs.google.com/spreadsheets/d/1IYY_tgx_IHuhSq3AJ5eI5OnqOPBNLWSHKh2a30DoXe8/edit?usp=sharing"",""นราธิวาส!J195"")"),0)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IFERROR(__xludf.DUMMYFUNCTION("IMPORTRANGE(""https://docs.google.com/spreadsheets/d/1IYY_tgx_IHuhSq3AJ5eI5OnqOPBNLWSHKh2a30DoXe8/edit?usp=sharing"",""นราธิวาส!J196"")"),0)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IFERROR(__xludf.DUMMYFUNCTION("IMPORTRANGE(""https://docs.google.com/spreadsheets/d/1IYY_tgx_IHuhSq3AJ5eI5OnqOPBNLWSHKh2a30DoXe8/edit?usp=sharing"",""นราธิวาส!J197"")"),0)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IFERROR(__xludf.DUMMYFUNCTION("IMPORTRANGE(""https://docs.google.com/spreadsheets/d/1IYY_tgx_IHuhSq3AJ5eI5OnqOPBNLWSHKh2a30DoXe8/edit?usp=sharing"",""นราธิวาส!I199"")"),0)</f>
        <v>0</v>
      </c>
      <c r="J289" s="322">
        <f ca="1">IFERROR(__xludf.DUMMYFUNCTION("IMPORTRANGE(""https://docs.google.com/spreadsheets/d/1IYY_tgx_IHuhSq3AJ5eI5OnqOPBNLWSHKh2a30DoXe8/edit?usp=sharing"",""นราธิวาส!J199"")"),0)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IFERROR(__xludf.DUMMYFUNCTION("IMPORTRANGE(""https://docs.google.com/spreadsheets/d/1Yj_ptqi66GCucihVvJfMjLAmec39IyEx_6qawtMGysU/edit?usp=sharing"",""สบก!CT85"")"),0)</f>
        <v>0</v>
      </c>
      <c r="N294" s="174">
        <f ca="1">IFERROR(__xludf.DUMMYFUNCTION("IMPORTRANGE(""https://docs.google.com/spreadsheets/d/1Yj_ptqi66GCucihVvJfMjLAmec39IyEx_6qawtMGysU/edit?usp=sharing"",""สบก!CU85"")"),0)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IFERROR(__xludf.DUMMYFUNCTION("IMPORTRANGE(""https://docs.google.com/spreadsheets/d/1Yj_ptqi66GCucihVvJfMjLAmec39IyEx_6qawtMGysU/edit?usp=sharing"",""สบก!CP85"")"),0)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IFERROR(__xludf.DUMMYFUNCTION("IMPORTRANGE(""https://docs.google.com/spreadsheets/d/1Yj_ptqi66GCucihVvJfMjLAmec39IyEx_6qawtMGysU/edit?usp=sharing"",""สบก!CQ85"")"),0)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IFERROR(__xludf.DUMMYFUNCTION("IMPORTRANGE(""https://docs.google.com/spreadsheets/d/1Yj_ptqi66GCucihVvJfMjLAmec39IyEx_6qawtMGysU/edit?usp=sharing"",""สบก!CR85"")"),0)</f>
        <v>0</v>
      </c>
      <c r="M298" s="101"/>
      <c r="N298" s="91">
        <f ca="1">IFERROR(__xludf.DUMMYFUNCTION("IMPORTRANGE(""https://docs.google.com/spreadsheets/d/1Yj_ptqi66GCucihVvJfMjLAmec39IyEx_6qawtMGysU/edit?usp=sharing"",""สบก!CV85"")"),0)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IFERROR(__xludf.DUMMYFUNCTION("IMPORTRANGE(""https://docs.google.com/spreadsheets/d/1IYY_tgx_IHuhSq3AJ5eI5OnqOPBNLWSHKh2a30DoXe8/edit?usp=sharing"",""นราธิวาส!J205"")"),0)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IFERROR(__xludf.DUMMYFUNCTION("IMPORTRANGE(""https://docs.google.com/spreadsheets/d/1IYY_tgx_IHuhSq3AJ5eI5OnqOPBNLWSHKh2a30DoXe8/edit?usp=sharing"",""นราธิวาส!J206"")"),0)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IFERROR(__xludf.DUMMYFUNCTION("IMPORTRANGE(""https://docs.google.com/spreadsheets/d/1IYY_tgx_IHuhSq3AJ5eI5OnqOPBNLWSHKh2a30DoXe8/edit?usp=sharing"",""นราธิวาส!J207"")"),0)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IFERROR(__xludf.DUMMYFUNCTION("IMPORTRANGE(""https://docs.google.com/spreadsheets/d/1IYY_tgx_IHuhSq3AJ5eI5OnqOPBNLWSHKh2a30DoXe8/edit?usp=sharing"",""นราธิวาส!J208"")"),0)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IFERROR(__xludf.DUMMYFUNCTION("IMPORTRANGE(""https://docs.google.com/spreadsheets/d/1IYY_tgx_IHuhSq3AJ5eI5OnqOPBNLWSHKh2a30DoXe8/edit?usp=sharing"",""นราธิวาส!I209"")"),0)</f>
        <v>0</v>
      </c>
      <c r="J304" s="210">
        <f ca="1">IFERROR(__xludf.DUMMYFUNCTION("IMPORTRANGE(""https://docs.google.com/spreadsheets/d/1IYY_tgx_IHuhSq3AJ5eI5OnqOPBNLWSHKh2a30DoXe8/edit?usp=sharing"",""นราธิวาส!J209"")"),0)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IFERROR(__xludf.DUMMYFUNCTION("IMPORTRANGE(""https://docs.google.com/spreadsheets/d/1IYY_tgx_IHuhSq3AJ5eI5OnqOPBNLWSHKh2a30DoXe8/edit?usp=sharing"",""นราธิวาส!I211"")"),0)</f>
        <v>0</v>
      </c>
      <c r="J306" s="210">
        <f ca="1">IFERROR(__xludf.DUMMYFUNCTION("IMPORTRANGE(""https://docs.google.com/spreadsheets/d/1IYY_tgx_IHuhSq3AJ5eI5OnqOPBNLWSHKh2a30DoXe8/edit?usp=sharing"",""นราธิวาส!J211"")"),0)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IFERROR(__xludf.DUMMYFUNCTION("IMPORTRANGE(""https://docs.google.com/spreadsheets/d/1IYY_tgx_IHuhSq3AJ5eI5OnqOPBNLWSHKh2a30DoXe8/edit?usp=sharing"",""นราธิวาส!J212"")"),0)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IFERROR(__xludf.DUMMYFUNCTION("IMPORTRANGE(""https://docs.google.com/spreadsheets/d/1IYY_tgx_IHuhSq3AJ5eI5OnqOPBNLWSHKh2a30DoXe8/edit?usp=sharing"",""นราธิวาส!J213"")"),0)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IFERROR(__xludf.DUMMYFUNCTION("IMPORTRANGE(""https://docs.google.com/spreadsheets/d/1IYY_tgx_IHuhSq3AJ5eI5OnqOPBNLWSHKh2a30DoXe8/edit?usp=sharing"",""นราธิวาส!I214"")"),0)</f>
        <v>0</v>
      </c>
      <c r="J309" s="339">
        <f ca="1">IFERROR(__xludf.DUMMYFUNCTION("IMPORTRANGE(""https://docs.google.com/spreadsheets/d/1IYY_tgx_IHuhSq3AJ5eI5OnqOPBNLWSHKh2a30DoXe8/edit?usp=sharing"",""นราธิวาส!J214"")"),0)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IFERROR(__xludf.DUMMYFUNCTION("IMPORTRANGE(""https://docs.google.com/spreadsheets/d/1Yj_ptqi66GCucihVvJfMjLAmec39IyEx_6qawtMGysU/edit?usp=sharing"",""สบก!DC85"")"),0)</f>
        <v>0</v>
      </c>
      <c r="N314" s="174">
        <f ca="1">IFERROR(__xludf.DUMMYFUNCTION("IMPORTRANGE(""https://docs.google.com/spreadsheets/d/1Yj_ptqi66GCucihVvJfMjLAmec39IyEx_6qawtMGysU/edit?usp=sharing"",""สบก!DD85"")"),0)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IFERROR(__xludf.DUMMYFUNCTION("IMPORTRANGE(""https://docs.google.com/spreadsheets/d/1Yj_ptqi66GCucihVvJfMjLAmec39IyEx_6qawtMGysU/edit?usp=sharing"",""สบก!CY85"")"),0)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IFERROR(__xludf.DUMMYFUNCTION("IMPORTRANGE(""https://docs.google.com/spreadsheets/d/1Yj_ptqi66GCucihVvJfMjLAmec39IyEx_6qawtMGysU/edit?usp=sharing"",""สบก!CZ85"")"),0)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IFERROR(__xludf.DUMMYFUNCTION("IMPORTRANGE(""https://docs.google.com/spreadsheets/d/1Yj_ptqi66GCucihVvJfMjLAmec39IyEx_6qawtMGysU/edit?usp=sharing"",""สบก!DA85"")"),0)</f>
        <v>0</v>
      </c>
      <c r="M318" s="101"/>
      <c r="N318" s="91">
        <f ca="1">IFERROR(__xludf.DUMMYFUNCTION("IMPORTRANGE(""https://docs.google.com/spreadsheets/d/1Yj_ptqi66GCucihVvJfMjLAmec39IyEx_6qawtMGysU/edit?usp=sharing"",""สบก!DE85"")"),0)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IFERROR(__xludf.DUMMYFUNCTION("IMPORTRANGE(""https://docs.google.com/spreadsheets/d/1IYY_tgx_IHuhSq3AJ5eI5OnqOPBNLWSHKh2a30DoXe8/edit?usp=sharing"",""นราธิวาส!J220"")"),0)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IFERROR(__xludf.DUMMYFUNCTION("IMPORTRANGE(""https://docs.google.com/spreadsheets/d/1IYY_tgx_IHuhSq3AJ5eI5OnqOPBNLWSHKh2a30DoXe8/edit?usp=sharing"",""นราธิวาส!J221"")"),0)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IFERROR(__xludf.DUMMYFUNCTION("IMPORTRANGE(""https://docs.google.com/spreadsheets/d/1IYY_tgx_IHuhSq3AJ5eI5OnqOPBNLWSHKh2a30DoXe8/edit?usp=sharing"",""นราธิวาส!J222"")"),0)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IFERROR(__xludf.DUMMYFUNCTION("IMPORTRANGE(""https://docs.google.com/spreadsheets/d/1IYY_tgx_IHuhSq3AJ5eI5OnqOPBNLWSHKh2a30DoXe8/edit?usp=sharing"",""นราธิวาส!J223"")"),0)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IFERROR(__xludf.DUMMYFUNCTION("IMPORTRANGE(""https://docs.google.com/spreadsheets/d/1IYY_tgx_IHuhSq3AJ5eI5OnqOPBNLWSHKh2a30DoXe8/edit?usp=sharing"",""นราธิวาส!I224"")"),0)</f>
        <v>0</v>
      </c>
      <c r="J324" s="210">
        <f ca="1">IFERROR(__xludf.DUMMYFUNCTION("IMPORTRANGE(""https://docs.google.com/spreadsheets/d/1IYY_tgx_IHuhSq3AJ5eI5OnqOPBNLWSHKh2a30DoXe8/edit?usp=sharing"",""นราธิวาส!J224"")"),0)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IFERROR(__xludf.DUMMYFUNCTION("IMPORTRANGE(""https://docs.google.com/spreadsheets/d/1IYY_tgx_IHuhSq3AJ5eI5OnqOPBNLWSHKh2a30DoXe8/edit?usp=sharing"",""นราธิวาส!J225"")"),0)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IFERROR(__xludf.DUMMYFUNCTION("IMPORTRANGE(""https://docs.google.com/spreadsheets/d/1IYY_tgx_IHuhSq3AJ5eI5OnqOPBNLWSHKh2a30DoXe8/edit?usp=sharing"",""นราธิวาส!J226"")"),0)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IFERROR(__xludf.DUMMYFUNCTION("IMPORTRANGE(""https://docs.google.com/spreadsheets/d/1IYY_tgx_IHuhSq3AJ5eI5OnqOPBNLWSHKh2a30DoXe8/edit?usp=sharing"",""นราธิวาส!I228"")"),65)</f>
        <v>65</v>
      </c>
      <c r="J328" s="345">
        <f ca="1">IFERROR(__xludf.DUMMYFUNCTION("IMPORTRANGE(""https://docs.google.com/spreadsheets/d/1IYY_tgx_IHuhSq3AJ5eI5OnqOPBNLWSHKh2a30DoXe8/edit?usp=sharing"",""นราธิวาส!J228"")"),11)</f>
        <v>11</v>
      </c>
      <c r="K328" s="323">
        <f ca="1">IF(I328&gt;0,J328*100/I328,0)</f>
        <v>16.923076923076923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721520</v>
      </c>
      <c r="M329" s="156">
        <f t="shared" ca="1" si="98"/>
        <v>533580</v>
      </c>
      <c r="N329" s="156">
        <f t="shared" ca="1" si="98"/>
        <v>347513</v>
      </c>
      <c r="O329" s="155">
        <f t="shared" ref="O329:O331" ca="1" si="99">IF(L329&gt;0,N329*100/L329,0)</f>
        <v>48.164014857523007</v>
      </c>
      <c r="P329" s="155">
        <f t="shared" ref="P329:P331" ca="1" si="100">IF(M329&gt;0,N329*100/M329,0)</f>
        <v>65.128565538438465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721520</v>
      </c>
      <c r="M331" s="161">
        <f t="shared" ca="1" si="102"/>
        <v>533580</v>
      </c>
      <c r="N331" s="161">
        <f t="shared" ca="1" si="102"/>
        <v>347513</v>
      </c>
      <c r="O331" s="160">
        <f t="shared" ca="1" si="99"/>
        <v>48.164014857523007</v>
      </c>
      <c r="P331" s="160">
        <f t="shared" ca="1" si="100"/>
        <v>65.128565538438465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721520</v>
      </c>
      <c r="M333" s="173">
        <f ca="1">IFERROR(__xludf.DUMMYFUNCTION("IMPORTRANGE(""https://docs.google.com/spreadsheets/d/1Yj_ptqi66GCucihVvJfMjLAmec39IyEx_6qawtMGysU/edit?usp=sharing"",""สบก!DL85"")"),533580)</f>
        <v>533580</v>
      </c>
      <c r="N333" s="174">
        <f ca="1">IFERROR(__xludf.DUMMYFUNCTION("IMPORTRANGE(""https://docs.google.com/spreadsheets/d/1Yj_ptqi66GCucihVvJfMjLAmec39IyEx_6qawtMGysU/edit?usp=sharing"",""สบก!DM85"")"),347513)</f>
        <v>347513</v>
      </c>
      <c r="O333" s="175">
        <f ca="1">IF(L333&gt;0,N333*100/L333,0)</f>
        <v>48.164014857523007</v>
      </c>
      <c r="P333" s="175">
        <f ca="1">IF(M333&gt;0,N333*100/M333,0)</f>
        <v>65.128565538438465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IFERROR(__xludf.DUMMYFUNCTION("IMPORTRANGE(""https://docs.google.com/spreadsheets/d/1Yj_ptqi66GCucihVvJfMjLAmec39IyEx_6qawtMGysU/edit?usp=sharing"",""สบก!DH85"")"),506800)</f>
        <v>506800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IFERROR(__xludf.DUMMYFUNCTION("IMPORTRANGE(""https://docs.google.com/spreadsheets/d/1Yj_ptqi66GCucihVvJfMjLAmec39IyEx_6qawtMGysU/edit?usp=sharing"",""สบก!DI85"")"),214720)</f>
        <v>214720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IFERROR(__xludf.DUMMYFUNCTION("IMPORTRANGE(""https://docs.google.com/spreadsheets/d/1Yj_ptqi66GCucihVvJfMjLAmec39IyEx_6qawtMGysU/edit?usp=sharing"",""สบก!DJ85"")"),0)</f>
        <v>0</v>
      </c>
      <c r="M337" s="101"/>
      <c r="N337" s="91">
        <f ca="1">IFERROR(__xludf.DUMMYFUNCTION("IMPORTRANGE(""https://docs.google.com/spreadsheets/d/1Yj_ptqi66GCucihVvJfMjLAmec39IyEx_6qawtMGysU/edit?usp=sharing"",""สบก!DN85"")"),0)</f>
        <v>0</v>
      </c>
      <c r="O337" s="101">
        <f ca="1">IF(L337&gt;0,N337*100/L337,0)</f>
        <v>0</v>
      </c>
      <c r="P337" s="101"/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IFERROR(__xludf.DUMMYFUNCTION("IMPORTRANGE(""https://docs.google.com/spreadsheets/d/1IYY_tgx_IHuhSq3AJ5eI5OnqOPBNLWSHKh2a30DoXe8/edit?usp=sharing"",""นราธิวาส!I234"")"),0)</f>
        <v>0</v>
      </c>
      <c r="J339" s="194">
        <f ca="1">IFERROR(__xludf.DUMMYFUNCTION("IMPORTRANGE(""https://docs.google.com/spreadsheets/d/1IYY_tgx_IHuhSq3AJ5eI5OnqOPBNLWSHKh2a30DoXe8/edit?usp=sharing"",""นราธิวาส!J234"")"),21)</f>
        <v>21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IFERROR(__xludf.DUMMYFUNCTION("IMPORTRANGE(""https://docs.google.com/spreadsheets/d/1IYY_tgx_IHuhSq3AJ5eI5OnqOPBNLWSHKh2a30DoXe8/edit?usp=sharing"",""นราธิวาส!I235"")"),165)</f>
        <v>165</v>
      </c>
      <c r="J340" s="194">
        <f ca="1">IFERROR(__xludf.DUMMYFUNCTION("IMPORTRANGE(""https://docs.google.com/spreadsheets/d/1IYY_tgx_IHuhSq3AJ5eI5OnqOPBNLWSHKh2a30DoXe8/edit?usp=sharing"",""นราธิวาส!J235"")"),110.35)</f>
        <v>110.35</v>
      </c>
      <c r="K340" s="348">
        <f t="shared" ca="1" si="103"/>
        <v>66.878787878787875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IFERROR(__xludf.DUMMYFUNCTION("IMPORTRANGE(""https://docs.google.com/spreadsheets/d/1IYY_tgx_IHuhSq3AJ5eI5OnqOPBNLWSHKh2a30DoXe8/edit?usp=sharing"",""นราธิวาส!I236"")"),65)</f>
        <v>65</v>
      </c>
      <c r="J341" s="194">
        <f ca="1">IFERROR(__xludf.DUMMYFUNCTION("IMPORTRANGE(""https://docs.google.com/spreadsheets/d/1IYY_tgx_IHuhSq3AJ5eI5OnqOPBNLWSHKh2a30DoXe8/edit?usp=sharing"",""นราธิวาส!J236"")"),21)</f>
        <v>21</v>
      </c>
      <c r="K341" s="348">
        <f t="shared" ca="1" si="103"/>
        <v>32.307692307692307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IFERROR(__xludf.DUMMYFUNCTION("IMPORTRANGE(""https://docs.google.com/spreadsheets/d/1IYY_tgx_IHuhSq3AJ5eI5OnqOPBNLWSHKh2a30DoXe8/edit?usp=sharing"",""นราธิวาส!I237"")"),0)</f>
        <v>0</v>
      </c>
      <c r="J342" s="194">
        <f ca="1">IFERROR(__xludf.DUMMYFUNCTION("IMPORTRANGE(""https://docs.google.com/spreadsheets/d/1IYY_tgx_IHuhSq3AJ5eI5OnqOPBNLWSHKh2a30DoXe8/edit?usp=sharing"",""นราธิวาส!J237"")"),116.19)</f>
        <v>116.19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IFERROR(__xludf.DUMMYFUNCTION("IMPORTRANGE(""https://docs.google.com/spreadsheets/d/1IYY_tgx_IHuhSq3AJ5eI5OnqOPBNLWSHKh2a30DoXe8/edit?usp=sharing"",""นราธิวาส!I238"")"),65)</f>
        <v>65</v>
      </c>
      <c r="J343" s="194">
        <f ca="1">IFERROR(__xludf.DUMMYFUNCTION("IMPORTRANGE(""https://docs.google.com/spreadsheets/d/1IYY_tgx_IHuhSq3AJ5eI5OnqOPBNLWSHKh2a30DoXe8/edit?usp=sharing"",""นราธิวาส!J238"")"),0)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IFERROR(__xludf.DUMMYFUNCTION("IMPORTRANGE(""https://docs.google.com/spreadsheets/d/1IYY_tgx_IHuhSq3AJ5eI5OnqOPBNLWSHKh2a30DoXe8/edit?usp=sharing"",""นราธิวาส!I239"")"),0)</f>
        <v>0</v>
      </c>
      <c r="J344" s="194">
        <f ca="1">IFERROR(__xludf.DUMMYFUNCTION("IMPORTRANGE(""https://docs.google.com/spreadsheets/d/1IYY_tgx_IHuhSq3AJ5eI5OnqOPBNLWSHKh2a30DoXe8/edit?usp=sharing"",""นราธิวาส!J239"")"),0)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IFERROR(__xludf.DUMMYFUNCTION("IMPORTRANGE(""https://docs.google.com/spreadsheets/d/1IYY_tgx_IHuhSq3AJ5eI5OnqOPBNLWSHKh2a30DoXe8/edit?usp=sharing"",""นราธิวาส!I240"")"),65)</f>
        <v>65</v>
      </c>
      <c r="J345" s="194">
        <f ca="1">IFERROR(__xludf.DUMMYFUNCTION("IMPORTRANGE(""https://docs.google.com/spreadsheets/d/1IYY_tgx_IHuhSq3AJ5eI5OnqOPBNLWSHKh2a30DoXe8/edit?usp=sharing"",""นราธิวาส!J240"")"),11)</f>
        <v>11</v>
      </c>
      <c r="K345" s="348">
        <f t="shared" ca="1" si="103"/>
        <v>16.923076923076923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IFERROR(__xludf.DUMMYFUNCTION("IMPORTRANGE(""https://docs.google.com/spreadsheets/d/1IYY_tgx_IHuhSq3AJ5eI5OnqOPBNLWSHKh2a30DoXe8/edit?usp=sharing"",""นราธิวาส!I241"")"),0)</f>
        <v>0</v>
      </c>
      <c r="J346" s="194">
        <f ca="1">IFERROR(__xludf.DUMMYFUNCTION("IMPORTRANGE(""https://docs.google.com/spreadsheets/d/1IYY_tgx_IHuhSq3AJ5eI5OnqOPBNLWSHKh2a30DoXe8/edit?usp=sharing"",""นราธิวาส!J241"")"),77.89)</f>
        <v>77.89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IFERROR(__xludf.DUMMYFUNCTION("IMPORTRANGE(""https://docs.google.com/spreadsheets/d/1IYY_tgx_IHuhSq3AJ5eI5OnqOPBNLWSHKh2a30DoXe8/edit?usp=sharing"",""นราธิวาส!L242"")"),1521707.5)</f>
        <v>1521707.5</v>
      </c>
      <c r="M347" s="364"/>
      <c r="N347" s="364">
        <f ca="1">IFERROR(__xludf.DUMMYFUNCTION("IMPORTRANGE(""https://docs.google.com/spreadsheets/d/1IYY_tgx_IHuhSq3AJ5eI5OnqOPBNLWSHKh2a30DoXe8/edit?usp=sharing"",""นราธิวาส!M242"")"),403273.74)</f>
        <v>403273.74</v>
      </c>
      <c r="O347" s="364">
        <f ca="1">+IF(L347&gt;0,N347*100/L347,0)</f>
        <v>26.501396621886926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IFERROR(__xludf.DUMMYFUNCTION("IMPORTRANGE(""https://docs.google.com/spreadsheets/d/1IYY_tgx_IHuhSq3AJ5eI5OnqOPBNLWSHKh2a30DoXe8/edit?usp=sharing"",""นราธิวาส!I244"")"),0)</f>
        <v>0</v>
      </c>
      <c r="J349" s="377">
        <f ca="1">IFERROR(__xludf.DUMMYFUNCTION("IMPORTRANGE(""https://docs.google.com/spreadsheets/d/1IYY_tgx_IHuhSq3AJ5eI5OnqOPBNLWSHKh2a30DoXe8/edit?usp=sharing"",""นราธิวาส!J244"")"),0)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IFERROR(__xludf.DUMMYFUNCTION("IMPORTRANGE(""https://docs.google.com/spreadsheets/d/1IYY_tgx_IHuhSq3AJ5eI5OnqOPBNLWSHKh2a30DoXe8/edit?usp=sharing"",""นราธิวาส!L244"")"),0)</f>
        <v>0</v>
      </c>
      <c r="M349" s="379"/>
      <c r="N349" s="379">
        <f ca="1">IFERROR(__xludf.DUMMYFUNCTION("IMPORTRANGE(""https://docs.google.com/spreadsheets/d/1IYY_tgx_IHuhSq3AJ5eI5OnqOPBNLWSHKh2a30DoXe8/edit?usp=sharing"",""นราธิวาส!M244"")"),0)</f>
        <v>0</v>
      </c>
      <c r="O349" s="379">
        <f ca="1">+IF(L349&gt;0,N349*100/L349,0)</f>
        <v>0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IFERROR(__xludf.DUMMYFUNCTION("IMPORTRANGE(""https://docs.google.com/spreadsheets/d/1IYY_tgx_IHuhSq3AJ5eI5OnqOPBNLWSHKh2a30DoXe8/edit?usp=sharing"",""นราธิวาส!I245"")"),0)</f>
        <v>0</v>
      </c>
      <c r="J350" s="377">
        <f ca="1">IFERROR(__xludf.DUMMYFUNCTION("IMPORTRANGE(""https://docs.google.com/spreadsheets/d/1IYY_tgx_IHuhSq3AJ5eI5OnqOPBNLWSHKh2a30DoXe8/edit?usp=sharing"",""นราธิวาส!J245"")"),0)</f>
        <v>0</v>
      </c>
      <c r="K350" s="378">
        <f t="shared" ca="1" si="104"/>
        <v>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IFERROR(__xludf.DUMMYFUNCTION("IMPORTRANGE(""https://docs.google.com/spreadsheets/d/1IYY_tgx_IHuhSq3AJ5eI5OnqOPBNLWSHKh2a30DoXe8/edit?usp=sharing"",""นราธิวาส!L246"")"),0)</f>
        <v>0</v>
      </c>
      <c r="M351" s="168"/>
      <c r="N351" s="168">
        <f ca="1">IFERROR(__xludf.DUMMYFUNCTION("IMPORTRANGE(""https://docs.google.com/spreadsheets/d/1IYY_tgx_IHuhSq3AJ5eI5OnqOPBNLWSHKh2a30DoXe8/edit?usp=sharing"",""นราธิวาส!M246"")"),0)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IFERROR(__xludf.DUMMYFUNCTION("IMPORTRANGE(""https://docs.google.com/spreadsheets/d/1IYY_tgx_IHuhSq3AJ5eI5OnqOPBNLWSHKh2a30DoXe8/edit?usp=sharing"",""นราธิวาส!L247"")"),0)</f>
        <v>0</v>
      </c>
      <c r="M352" s="169"/>
      <c r="N352" s="168">
        <f ca="1">IFERROR(__xludf.DUMMYFUNCTION("IMPORTRANGE(""https://docs.google.com/spreadsheets/d/1IYY_tgx_IHuhSq3AJ5eI5OnqOPBNLWSHKh2a30DoXe8/edit?usp=sharing"",""นราธิวาส!M247"")"),0)</f>
        <v>0</v>
      </c>
      <c r="O352" s="169">
        <f t="shared" ca="1" si="105"/>
        <v>0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IFERROR(__xludf.DUMMYFUNCTION("IMPORTRANGE(""https://docs.google.com/spreadsheets/d/1IYY_tgx_IHuhSq3AJ5eI5OnqOPBNLWSHKh2a30DoXe8/edit?usp=sharing"",""นราธิวาส!L248"")"),0)</f>
        <v>0</v>
      </c>
      <c r="M353" s="175"/>
      <c r="N353" s="175">
        <f ca="1">IFERROR(__xludf.DUMMYFUNCTION("IMPORTRANGE(""https://docs.google.com/spreadsheets/d/1IYY_tgx_IHuhSq3AJ5eI5OnqOPBNLWSHKh2a30DoXe8/edit?usp=sharing"",""นราธิวาส!M248"")"),0)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IFERROR(__xludf.DUMMYFUNCTION("IMPORTRANGE(""https://docs.google.com/spreadsheets/d/1IYY_tgx_IHuhSq3AJ5eI5OnqOPBNLWSHKh2a30DoXe8/edit?usp=sharing"",""นราธิวาส!L249"")"),0)</f>
        <v>0</v>
      </c>
      <c r="M354" s="175"/>
      <c r="N354" s="172">
        <f ca="1">IFERROR(__xludf.DUMMYFUNCTION("IMPORTRANGE(""https://docs.google.com/spreadsheets/d/1IYY_tgx_IHuhSq3AJ5eI5OnqOPBNLWSHKh2a30DoXe8/edit?usp=sharing"",""นราธิวาส!M249"")"),0)</f>
        <v>0</v>
      </c>
      <c r="O354" s="175">
        <f t="shared" ca="1" si="105"/>
        <v>0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IFERROR(__xludf.DUMMYFUNCTION("IMPORTRANGE(""https://docs.google.com/spreadsheets/d/1IYY_tgx_IHuhSq3AJ5eI5OnqOPBNLWSHKh2a30DoXe8/edit?usp=sharing"",""นราธิวาส!M250"")"),0)</f>
        <v>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IFERROR(__xludf.DUMMYFUNCTION("IMPORTRANGE(""https://docs.google.com/spreadsheets/d/1IYY_tgx_IHuhSq3AJ5eI5OnqOPBNLWSHKh2a30DoXe8/edit?usp=sharing"",""นราธิวาส!M251"")"),0)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IFERROR(__xludf.DUMMYFUNCTION("IMPORTRANGE(""https://docs.google.com/spreadsheets/d/1IYY_tgx_IHuhSq3AJ5eI5OnqOPBNLWSHKh2a30DoXe8/edit?usp=sharing"",""นราธิวาส!M252"")"),0)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IFERROR(__xludf.DUMMYFUNCTION("IMPORTRANGE(""https://docs.google.com/spreadsheets/d/1IYY_tgx_IHuhSq3AJ5eI5OnqOPBNLWSHKh2a30DoXe8/edit?usp=sharing"",""นราธิวาส!M253"")"),0)</f>
        <v>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IFERROR(__xludf.DUMMYFUNCTION("IMPORTRANGE(""https://docs.google.com/spreadsheets/d/1IYY_tgx_IHuhSq3AJ5eI5OnqOPBNLWSHKh2a30DoXe8/edit?usp=sharing"",""นราธิวาส!J255"")"),0)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IFERROR(__xludf.DUMMYFUNCTION("IMPORTRANGE(""https://docs.google.com/spreadsheets/d/1IYY_tgx_IHuhSq3AJ5eI5OnqOPBNLWSHKh2a30DoXe8/edit?usp=sharing"",""นราธิวาส!J256"")"),0)</f>
        <v>0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IFERROR(__xludf.DUMMYFUNCTION("IMPORTRANGE(""https://docs.google.com/spreadsheets/d/1IYY_tgx_IHuhSq3AJ5eI5OnqOPBNLWSHKh2a30DoXe8/edit?usp=sharing"",""นราธิวาส!J257"")"),0)</f>
        <v>0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IFERROR(__xludf.DUMMYFUNCTION("IMPORTRANGE(""https://docs.google.com/spreadsheets/d/1IYY_tgx_IHuhSq3AJ5eI5OnqOPBNLWSHKh2a30DoXe8/edit?usp=sharing"",""นราธิวาส!J258"")"),0)</f>
        <v>0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IFERROR(__xludf.DUMMYFUNCTION("IMPORTRANGE(""https://docs.google.com/spreadsheets/d/1IYY_tgx_IHuhSq3AJ5eI5OnqOPBNLWSHKh2a30DoXe8/edit?usp=sharing"",""นราธิวาส!J166"")"),0)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IFERROR(__xludf.DUMMYFUNCTION("IMPORTRANGE(""https://docs.google.com/spreadsheets/d/1IYY_tgx_IHuhSq3AJ5eI5OnqOPBNLWSHKh2a30DoXe8/edit?usp=sharing"",""นราธิวาส!J166"")"),0)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IFERROR(__xludf.DUMMYFUNCTION("IMPORTRANGE(""https://docs.google.com/spreadsheets/d/1IYY_tgx_IHuhSq3AJ5eI5OnqOPBNLWSHKh2a30DoXe8/edit?usp=sharing"",""นราธิวาส!J166"")"),0)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IFERROR(__xludf.DUMMYFUNCTION("IMPORTRANGE(""https://docs.google.com/spreadsheets/d/1IYY_tgx_IHuhSq3AJ5eI5OnqOPBNLWSHKh2a30DoXe8/edit?usp=sharing"",""นราธิวาส!J166"")"),0)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IFERROR(__xludf.DUMMYFUNCTION("IMPORTRANGE(""https://docs.google.com/spreadsheets/d/1IYY_tgx_IHuhSq3AJ5eI5OnqOPBNLWSHKh2a30DoXe8/edit?usp=sharing"",""นราธิวาส!I263"")"),0)</f>
        <v>0</v>
      </c>
      <c r="J368" s="194">
        <f ca="1">IFERROR(__xludf.DUMMYFUNCTION("IMPORTRANGE(""https://docs.google.com/spreadsheets/d/1IYY_tgx_IHuhSq3AJ5eI5OnqOPBNLWSHKh2a30DoXe8/edit?usp=sharing"",""นราธิวาส!J263"")"),0)</f>
        <v>0</v>
      </c>
      <c r="K368" s="167">
        <f t="shared" ca="1" si="106"/>
        <v>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IFERROR(__xludf.DUMMYFUNCTION("IMPORTRANGE(""https://docs.google.com/spreadsheets/d/1IYY_tgx_IHuhSq3AJ5eI5OnqOPBNLWSHKh2a30DoXe8/edit?usp=sharing"",""นราธิวาส!I164"")"),0)</f>
        <v>0</v>
      </c>
      <c r="J369" s="210">
        <f ca="1">IFERROR(__xludf.DUMMYFUNCTION("IMPORTRANGE(""https://docs.google.com/spreadsheets/d/1IYY_tgx_IHuhSq3AJ5eI5OnqOPBNLWSHKh2a30DoXe8/edit?usp=sharing"",""นราธิวาส!J164"")"),0)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IFERROR(__xludf.DUMMYFUNCTION("IMPORTRANGE(""https://docs.google.com/spreadsheets/d/1IYY_tgx_IHuhSq3AJ5eI5OnqOPBNLWSHKh2a30DoXe8/edit?usp=sharing"",""นราธิวาส!I265"")"),0)</f>
        <v>0</v>
      </c>
      <c r="J370" s="210">
        <f ca="1">IFERROR(__xludf.DUMMYFUNCTION("IMPORTRANGE(""https://docs.google.com/spreadsheets/d/1IYY_tgx_IHuhSq3AJ5eI5OnqOPBNLWSHKh2a30DoXe8/edit?usp=sharing"",""นราธิวาส!J265"")"),0)</f>
        <v>0</v>
      </c>
      <c r="K370" s="167">
        <f t="shared" ca="1" si="106"/>
        <v>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IFERROR(__xludf.DUMMYFUNCTION("IMPORTRANGE(""https://docs.google.com/spreadsheets/d/1IYY_tgx_IHuhSq3AJ5eI5OnqOPBNLWSHKh2a30DoXe8/edit?usp=sharing"",""นราธิวาส!I164"")"),0)</f>
        <v>0</v>
      </c>
      <c r="J371" s="195">
        <f ca="1">IFERROR(__xludf.DUMMYFUNCTION("IMPORTRANGE(""https://docs.google.com/spreadsheets/d/1IYY_tgx_IHuhSq3AJ5eI5OnqOPBNLWSHKh2a30DoXe8/edit?usp=sharing"",""นราธิวาส!J164"")"),0)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IFERROR(__xludf.DUMMYFUNCTION("IMPORTRANGE(""https://docs.google.com/spreadsheets/d/1IYY_tgx_IHuhSq3AJ5eI5OnqOPBNLWSHKh2a30DoXe8/edit?usp=sharing"",""นราธิวาส!I267"")"),0)</f>
        <v>0</v>
      </c>
      <c r="J372" s="195">
        <f ca="1">IFERROR(__xludf.DUMMYFUNCTION("IMPORTRANGE(""https://docs.google.com/spreadsheets/d/1IYY_tgx_IHuhSq3AJ5eI5OnqOPBNLWSHKh2a30DoXe8/edit?usp=sharing"",""นราธิวาส!J267"")"),0)</f>
        <v>0</v>
      </c>
      <c r="K372" s="167">
        <f t="shared" ca="1" si="106"/>
        <v>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IFERROR(__xludf.DUMMYFUNCTION("IMPORTRANGE(""https://docs.google.com/spreadsheets/d/1IYY_tgx_IHuhSq3AJ5eI5OnqOPBNLWSHKh2a30DoXe8/edit?usp=sharing"",""นราธิวาส!I164"")"),0)</f>
        <v>0</v>
      </c>
      <c r="J373" s="210">
        <f ca="1">IFERROR(__xludf.DUMMYFUNCTION("IMPORTRANGE(""https://docs.google.com/spreadsheets/d/1IYY_tgx_IHuhSq3AJ5eI5OnqOPBNLWSHKh2a30DoXe8/edit?usp=sharing"",""นราธิวาส!J164"")"),0)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IFERROR(__xludf.DUMMYFUNCTION("IMPORTRANGE(""https://docs.google.com/spreadsheets/d/1IYY_tgx_IHuhSq3AJ5eI5OnqOPBNLWSHKh2a30DoXe8/edit?usp=sharing"",""นราธิวาส!I164"")"),0)</f>
        <v>0</v>
      </c>
      <c r="J374" s="194">
        <f ca="1">IFERROR(__xludf.DUMMYFUNCTION("IMPORTRANGE(""https://docs.google.com/spreadsheets/d/1IYY_tgx_IHuhSq3AJ5eI5OnqOPBNLWSHKh2a30DoXe8/edit?usp=sharing"",""นราธิวาส!J164"")"),0)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IFERROR(__xludf.DUMMYFUNCTION("IMPORTRANGE(""https://docs.google.com/spreadsheets/d/1IYY_tgx_IHuhSq3AJ5eI5OnqOPBNLWSHKh2a30DoXe8/edit?usp=sharing"",""นราธิวาส!I270"")"),0)</f>
        <v>0</v>
      </c>
      <c r="J375" s="194">
        <f ca="1">IFERROR(__xludf.DUMMYFUNCTION("IMPORTRANGE(""https://docs.google.com/spreadsheets/d/1IYY_tgx_IHuhSq3AJ5eI5OnqOPBNLWSHKh2a30DoXe8/edit?usp=sharing"",""นราธิวาส!J270"")"),0)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IFERROR(__xludf.DUMMYFUNCTION("IMPORTRANGE(""https://docs.google.com/spreadsheets/d/1IYY_tgx_IHuhSq3AJ5eI5OnqOPBNLWSHKh2a30DoXe8/edit?usp=sharing"",""นราธิวาส!I271"")"),0)</f>
        <v>0</v>
      </c>
      <c r="J376" s="195">
        <f ca="1">IFERROR(__xludf.DUMMYFUNCTION("IMPORTRANGE(""https://docs.google.com/spreadsheets/d/1IYY_tgx_IHuhSq3AJ5eI5OnqOPBNLWSHKh2a30DoXe8/edit?usp=sharing"",""นราธิวาส!J271"")"),0)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IFERROR(__xludf.DUMMYFUNCTION("IMPORTRANGE(""https://docs.google.com/spreadsheets/d/1IYY_tgx_IHuhSq3AJ5eI5OnqOPBNLWSHKh2a30DoXe8/edit?usp=sharing"",""นราธิวาส!I272"")"),0)</f>
        <v>0</v>
      </c>
      <c r="J377" s="210">
        <f ca="1">IFERROR(__xludf.DUMMYFUNCTION("IMPORTRANGE(""https://docs.google.com/spreadsheets/d/1IYY_tgx_IHuhSq3AJ5eI5OnqOPBNLWSHKh2a30DoXe8/edit?usp=sharing"",""นราธิวาส!J272"")"),0)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IFERROR(__xludf.DUMMYFUNCTION("IMPORTRANGE(""https://docs.google.com/spreadsheets/d/1IYY_tgx_IHuhSq3AJ5eI5OnqOPBNLWSHKh2a30DoXe8/edit?usp=sharing"",""นราธิวาส!J273"")"),0)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IFERROR(__xludf.DUMMYFUNCTION("IMPORTRANGE(""https://docs.google.com/spreadsheets/d/1IYY_tgx_IHuhSq3AJ5eI5OnqOPBNLWSHKh2a30DoXe8/edit?usp=sharing"",""นราธิวาส!J274"")"),0)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IFERROR(__xludf.DUMMYFUNCTION("IMPORTRANGE(""https://docs.google.com/spreadsheets/d/1IYY_tgx_IHuhSq3AJ5eI5OnqOPBNLWSHKh2a30DoXe8/edit?usp=sharing"",""นราธิวาส!I275"")"),100)</f>
        <v>100</v>
      </c>
      <c r="J380" s="377">
        <f ca="1">IFERROR(__xludf.DUMMYFUNCTION("IMPORTRANGE(""https://docs.google.com/spreadsheets/d/1IYY_tgx_IHuhSq3AJ5eI5OnqOPBNLWSHKh2a30DoXe8/edit?usp=sharing"",""นราธิวาส!J275"")"),0)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IFERROR(__xludf.DUMMYFUNCTION("IMPORTRANGE(""https://docs.google.com/spreadsheets/d/1IYY_tgx_IHuhSq3AJ5eI5OnqOPBNLWSHKh2a30DoXe8/edit?usp=sharing"",""นราธิวาส!L275"")"),127660)</f>
        <v>127660</v>
      </c>
      <c r="M380" s="379"/>
      <c r="N380" s="379">
        <f ca="1">IFERROR(__xludf.DUMMYFUNCTION("IMPORTRANGE(""https://docs.google.com/spreadsheets/d/1IYY_tgx_IHuhSq3AJ5eI5OnqOPBNLWSHKh2a30DoXe8/edit?usp=sharing"",""นราธิวาส!M275"")"),63840)</f>
        <v>63840</v>
      </c>
      <c r="O380" s="379">
        <f ca="1">+IF(L380&gt;0,N380*100/L380,0)</f>
        <v>50.007833307222306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IFERROR(__xludf.DUMMYFUNCTION("IMPORTRANGE(""https://docs.google.com/spreadsheets/d/1IYY_tgx_IHuhSq3AJ5eI5OnqOPBNLWSHKh2a30DoXe8/edit?usp=sharing"",""นราธิวาส!I276"")"),10)</f>
        <v>10</v>
      </c>
      <c r="J381" s="377">
        <f ca="1">IFERROR(__xludf.DUMMYFUNCTION("IMPORTRANGE(""https://docs.google.com/spreadsheets/d/1IYY_tgx_IHuhSq3AJ5eI5OnqOPBNLWSHKh2a30DoXe8/edit?usp=sharing"",""นราธิวาส!J276"")"),10)</f>
        <v>10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IFERROR(__xludf.DUMMYFUNCTION("IMPORTRANGE(""https://docs.google.com/spreadsheets/d/1IYY_tgx_IHuhSq3AJ5eI5OnqOPBNLWSHKh2a30DoXe8/edit?usp=sharing"",""นราธิวาส!L277"")"),0)</f>
        <v>0</v>
      </c>
      <c r="M382" s="168"/>
      <c r="N382" s="168">
        <f ca="1">IFERROR(__xludf.DUMMYFUNCTION("IMPORTRANGE(""https://docs.google.com/spreadsheets/d/1IYY_tgx_IHuhSq3AJ5eI5OnqOPBNLWSHKh2a30DoXe8/edit?usp=sharing"",""นราธิวาส!M277"")"),0)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IFERROR(__xludf.DUMMYFUNCTION("IMPORTRANGE(""https://docs.google.com/spreadsheets/d/1IYY_tgx_IHuhSq3AJ5eI5OnqOPBNLWSHKh2a30DoXe8/edit?usp=sharing"",""นราธิวาส!L278"")"),127660)</f>
        <v>127660</v>
      </c>
      <c r="M383" s="169"/>
      <c r="N383" s="169">
        <f ca="1">IFERROR(__xludf.DUMMYFUNCTION("IMPORTRANGE(""https://docs.google.com/spreadsheets/d/1IYY_tgx_IHuhSq3AJ5eI5OnqOPBNLWSHKh2a30DoXe8/edit?usp=sharing"",""นราธิวาส!M278"")"),63840)</f>
        <v>63840</v>
      </c>
      <c r="O383" s="169">
        <f t="shared" ca="1" si="109"/>
        <v>50.007833307222306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IFERROR(__xludf.DUMMYFUNCTION("IMPORTRANGE(""https://docs.google.com/spreadsheets/d/1IYY_tgx_IHuhSq3AJ5eI5OnqOPBNLWSHKh2a30DoXe8/edit?usp=sharing"",""นราธิวาส!L279"")"),0)</f>
        <v>0</v>
      </c>
      <c r="M384" s="175"/>
      <c r="N384" s="175">
        <f ca="1">IFERROR(__xludf.DUMMYFUNCTION("IMPORTRANGE(""https://docs.google.com/spreadsheets/d/1IYY_tgx_IHuhSq3AJ5eI5OnqOPBNLWSHKh2a30DoXe8/edit?usp=sharing"",""นราธิวาส!M279"")"),0)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IFERROR(__xludf.DUMMYFUNCTION("IMPORTRANGE(""https://docs.google.com/spreadsheets/d/1IYY_tgx_IHuhSq3AJ5eI5OnqOPBNLWSHKh2a30DoXe8/edit?usp=sharing"",""นราธิวาส!L280"")"),127660)</f>
        <v>127660</v>
      </c>
      <c r="M385" s="175"/>
      <c r="N385" s="172">
        <f ca="1">IFERROR(__xludf.DUMMYFUNCTION("IMPORTRANGE(""https://docs.google.com/spreadsheets/d/1IYY_tgx_IHuhSq3AJ5eI5OnqOPBNLWSHKh2a30DoXe8/edit?usp=sharing"",""นราธิวาส!M280"")"),63840)</f>
        <v>63840</v>
      </c>
      <c r="O385" s="175">
        <f t="shared" ca="1" si="109"/>
        <v>50.007833307222306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IFERROR(__xludf.DUMMYFUNCTION("IMPORTRANGE(""https://docs.google.com/spreadsheets/d/1IYY_tgx_IHuhSq3AJ5eI5OnqOPBNLWSHKh2a30DoXe8/edit?usp=sharing"",""นราธิวาส!M281"")"),41400)</f>
        <v>41400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IFERROR(__xludf.DUMMYFUNCTION("IMPORTRANGE(""https://docs.google.com/spreadsheets/d/1IYY_tgx_IHuhSq3AJ5eI5OnqOPBNLWSHKh2a30DoXe8/edit?usp=sharing"",""นราธิวาส!M282"")"),0)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IFERROR(__xludf.DUMMYFUNCTION("IMPORTRANGE(""https://docs.google.com/spreadsheets/d/1IYY_tgx_IHuhSq3AJ5eI5OnqOPBNLWSHKh2a30DoXe8/edit?usp=sharing"",""นราธิวาส!M283"")"),0)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IFERROR(__xludf.DUMMYFUNCTION("IMPORTRANGE(""https://docs.google.com/spreadsheets/d/1IYY_tgx_IHuhSq3AJ5eI5OnqOPBNLWSHKh2a30DoXe8/edit?usp=sharing"",""นราธิวาส!M284"")"),22440)</f>
        <v>22440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IFERROR(__xludf.DUMMYFUNCTION("IMPORTRANGE(""https://docs.google.com/spreadsheets/d/1IYY_tgx_IHuhSq3AJ5eI5OnqOPBNLWSHKh2a30DoXe8/edit?usp=sharing"",""นราธิวาส!J286"")"),0)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IFERROR(__xludf.DUMMYFUNCTION("IMPORTRANGE(""https://docs.google.com/spreadsheets/d/1IYY_tgx_IHuhSq3AJ5eI5OnqOPBNLWSHKh2a30DoXe8/edit?usp=sharing"",""นราธิวาส!J287"")"),1)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IFERROR(__xludf.DUMMYFUNCTION("IMPORTRANGE(""https://docs.google.com/spreadsheets/d/1IYY_tgx_IHuhSq3AJ5eI5OnqOPBNLWSHKh2a30DoXe8/edit?usp=sharing"",""นราธิวาส!J288"")"),1)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IFERROR(__xludf.DUMMYFUNCTION("IMPORTRANGE(""https://docs.google.com/spreadsheets/d/1IYY_tgx_IHuhSq3AJ5eI5OnqOPBNLWSHKh2a30DoXe8/edit?usp=sharing"",""นราธิวาส!J289"")"),1)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IFERROR(__xludf.DUMMYFUNCTION("IMPORTRANGE(""https://docs.google.com/spreadsheets/d/1IYY_tgx_IHuhSq3AJ5eI5OnqOPBNLWSHKh2a30DoXe8/edit?usp=sharing"",""นราธิวาส!I291"")"),10)</f>
        <v>10</v>
      </c>
      <c r="J396" s="204">
        <f ca="1">IFERROR(__xludf.DUMMYFUNCTION("IMPORTRANGE(""https://docs.google.com/spreadsheets/d/1IYY_tgx_IHuhSq3AJ5eI5OnqOPBNLWSHKh2a30DoXe8/edit?usp=sharing"",""นราธิวาส!J291"")"),10)</f>
        <v>10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IFERROR(__xludf.DUMMYFUNCTION("IMPORTRANGE(""https://docs.google.com/spreadsheets/d/1IYY_tgx_IHuhSq3AJ5eI5OnqOPBNLWSHKh2a30DoXe8/edit?usp=sharing"",""นราธิวาส!I292"")"),100)</f>
        <v>100</v>
      </c>
      <c r="J397" s="204">
        <f ca="1">IFERROR(__xludf.DUMMYFUNCTION("IMPORTRANGE(""https://docs.google.com/spreadsheets/d/1IYY_tgx_IHuhSq3AJ5eI5OnqOPBNLWSHKh2a30DoXe8/edit?usp=sharing"",""นราธิวาส!J292"")"),0)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IFERROR(__xludf.DUMMYFUNCTION("IMPORTRANGE(""https://docs.google.com/spreadsheets/d/1IYY_tgx_IHuhSq3AJ5eI5OnqOPBNLWSHKh2a30DoXe8/edit?usp=sharing"",""นราธิวาส!I293"")"),10)</f>
        <v>10</v>
      </c>
      <c r="J398" s="204">
        <f ca="1">IFERROR(__xludf.DUMMYFUNCTION("IMPORTRANGE(""https://docs.google.com/spreadsheets/d/1IYY_tgx_IHuhSq3AJ5eI5OnqOPBNLWSHKh2a30DoXe8/edit?usp=sharing"",""นราธิวาส!J293"")"),0)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IFERROR(__xludf.DUMMYFUNCTION("IMPORTRANGE(""https://docs.google.com/spreadsheets/d/1IYY_tgx_IHuhSq3AJ5eI5OnqOPBNLWSHKh2a30DoXe8/edit?usp=sharing"",""นราธิวาส!J294"")"),0)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IFERROR(__xludf.DUMMYFUNCTION("IMPORTRANGE(""https://docs.google.com/spreadsheets/d/1IYY_tgx_IHuhSq3AJ5eI5OnqOPBNLWSHKh2a30DoXe8/edit?usp=sharing"",""นราธิวาส!J295"")"),0)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IFERROR(__xludf.DUMMYFUNCTION("IMPORTRANGE(""https://docs.google.com/spreadsheets/d/1IYY_tgx_IHuhSq3AJ5eI5OnqOPBNLWSHKh2a30DoXe8/edit?usp=sharing"",""นราธิวาส!I296"")"),165)</f>
        <v>165</v>
      </c>
      <c r="J401" s="377">
        <f ca="1">IFERROR(__xludf.DUMMYFUNCTION("IMPORTRANGE(""https://docs.google.com/spreadsheets/d/1IYY_tgx_IHuhSq3AJ5eI5OnqOPBNLWSHKh2a30DoXe8/edit?usp=sharing"",""นราธิวาส!J296"")"),165)</f>
        <v>165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IFERROR(__xludf.DUMMYFUNCTION("IMPORTRANGE(""https://docs.google.com/spreadsheets/d/1IYY_tgx_IHuhSq3AJ5eI5OnqOPBNLWSHKh2a30DoXe8/edit?usp=sharing"",""นราธิวาส!L296"")"),195740)</f>
        <v>195740</v>
      </c>
      <c r="M401" s="379"/>
      <c r="N401" s="379">
        <f ca="1">IFERROR(__xludf.DUMMYFUNCTION("IMPORTRANGE(""https://docs.google.com/spreadsheets/d/1IYY_tgx_IHuhSq3AJ5eI5OnqOPBNLWSHKh2a30DoXe8/edit?usp=sharing"",""นราธิวาส!M296"")"),186200)</f>
        <v>186200</v>
      </c>
      <c r="O401" s="379">
        <f ca="1">+IF(L401&gt;0,N401*100/L401,0)</f>
        <v>95.126187800143043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IFERROR(__xludf.DUMMYFUNCTION("IMPORTRANGE(""https://docs.google.com/spreadsheets/d/1IYY_tgx_IHuhSq3AJ5eI5OnqOPBNLWSHKh2a30DoXe8/edit?usp=sharing"",""นราธิวาส!I297"")"),55)</f>
        <v>55</v>
      </c>
      <c r="J402" s="377">
        <f ca="1">IFERROR(__xludf.DUMMYFUNCTION("IMPORTRANGE(""https://docs.google.com/spreadsheets/d/1IYY_tgx_IHuhSq3AJ5eI5OnqOPBNLWSHKh2a30DoXe8/edit?usp=sharing"",""นราธิวาส!J297"")"),55)</f>
        <v>55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IFERROR(__xludf.DUMMYFUNCTION("IMPORTRANGE(""https://docs.google.com/spreadsheets/d/1IYY_tgx_IHuhSq3AJ5eI5OnqOPBNLWSHKh2a30DoXe8/edit?usp=sharing"",""นราธิวาส!L298"")"),0)</f>
        <v>0</v>
      </c>
      <c r="M403" s="168"/>
      <c r="N403" s="175">
        <f ca="1">IFERROR(__xludf.DUMMYFUNCTION("IMPORTRANGE(""https://docs.google.com/spreadsheets/d/1IYY_tgx_IHuhSq3AJ5eI5OnqOPBNLWSHKh2a30DoXe8/edit?usp=sharing"",""นราธิวาส!M298"")"),0)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IFERROR(__xludf.DUMMYFUNCTION("IMPORTRANGE(""https://docs.google.com/spreadsheets/d/1IYY_tgx_IHuhSq3AJ5eI5OnqOPBNLWSHKh2a30DoXe8/edit?usp=sharing"",""นราธิวาส!L299"")"),195740)</f>
        <v>195740</v>
      </c>
      <c r="M404" s="169"/>
      <c r="N404" s="175">
        <f ca="1">IFERROR(__xludf.DUMMYFUNCTION("IMPORTRANGE(""https://docs.google.com/spreadsheets/d/1IYY_tgx_IHuhSq3AJ5eI5OnqOPBNLWSHKh2a30DoXe8/edit?usp=sharing"",""นราธิวาส!M299"")"),186200)</f>
        <v>186200</v>
      </c>
      <c r="O404" s="175">
        <f t="shared" ca="1" si="112"/>
        <v>95.126187800143043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IFERROR(__xludf.DUMMYFUNCTION("IMPORTRANGE(""https://docs.google.com/spreadsheets/d/1IYY_tgx_IHuhSq3AJ5eI5OnqOPBNLWSHKh2a30DoXe8/edit?usp=sharing"",""นราธิวาส!L300"")"),0)</f>
        <v>0</v>
      </c>
      <c r="M405" s="175"/>
      <c r="N405" s="175">
        <f ca="1">IFERROR(__xludf.DUMMYFUNCTION("IMPORTRANGE(""https://docs.google.com/spreadsheets/d/1IYY_tgx_IHuhSq3AJ5eI5OnqOPBNLWSHKh2a30DoXe8/edit?usp=sharing"",""นราธิวาส!M300"")"),0)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IFERROR(__xludf.DUMMYFUNCTION("IMPORTRANGE(""https://docs.google.com/spreadsheets/d/1IYY_tgx_IHuhSq3AJ5eI5OnqOPBNLWSHKh2a30DoXe8/edit?usp=sharing"",""นราธิวาส!L301"")"),195740)</f>
        <v>195740</v>
      </c>
      <c r="M406" s="175"/>
      <c r="N406" s="175">
        <f ca="1">IFERROR(__xludf.DUMMYFUNCTION("IMPORTRANGE(""https://docs.google.com/spreadsheets/d/1IYY_tgx_IHuhSq3AJ5eI5OnqOPBNLWSHKh2a30DoXe8/edit?usp=sharing"",""นราธิวาส!M301"")"),186200)</f>
        <v>186200</v>
      </c>
      <c r="O406" s="175">
        <f t="shared" ca="1" si="112"/>
        <v>95.126187800143043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IFERROR(__xludf.DUMMYFUNCTION("IMPORTRANGE(""https://docs.google.com/spreadsheets/d/1IYY_tgx_IHuhSq3AJ5eI5OnqOPBNLWSHKh2a30DoXe8/edit?usp=sharing"",""นราธิวาส!M302"")"),111900)</f>
        <v>111900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IFERROR(__xludf.DUMMYFUNCTION("IMPORTRANGE(""https://docs.google.com/spreadsheets/d/1IYY_tgx_IHuhSq3AJ5eI5OnqOPBNLWSHKh2a30DoXe8/edit?usp=sharing"",""นราธิวาส!M303"")"),51500)</f>
        <v>51500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IFERROR(__xludf.DUMMYFUNCTION("IMPORTRANGE(""https://docs.google.com/spreadsheets/d/1IYY_tgx_IHuhSq3AJ5eI5OnqOPBNLWSHKh2a30DoXe8/edit?usp=sharing"",""นราธิวาส!M304"")"),0)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IFERROR(__xludf.DUMMYFUNCTION("IMPORTRANGE(""https://docs.google.com/spreadsheets/d/1IYY_tgx_IHuhSq3AJ5eI5OnqOPBNLWSHKh2a30DoXe8/edit?usp=sharing"",""นราธิวาส!M305"")"),22800)</f>
        <v>22800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IFERROR(__xludf.DUMMYFUNCTION("IMPORTRANGE(""https://docs.google.com/spreadsheets/d/1IYY_tgx_IHuhSq3AJ5eI5OnqOPBNLWSHKh2a30DoXe8/edit?usp=sharing"",""นราธิวาส!J307"")"),0)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IFERROR(__xludf.DUMMYFUNCTION("IMPORTRANGE(""https://docs.google.com/spreadsheets/d/1IYY_tgx_IHuhSq3AJ5eI5OnqOPBNLWSHKh2a30DoXe8/edit?usp=sharing"",""นราธิวาส!J308"")"),1)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IFERROR(__xludf.DUMMYFUNCTION("IMPORTRANGE(""https://docs.google.com/spreadsheets/d/1IYY_tgx_IHuhSq3AJ5eI5OnqOPBNLWSHKh2a30DoXe8/edit?usp=sharing"",""นราธิวาส!J309"")"),1)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IFERROR(__xludf.DUMMYFUNCTION("IMPORTRANGE(""https://docs.google.com/spreadsheets/d/1IYY_tgx_IHuhSq3AJ5eI5OnqOPBNLWSHKh2a30DoXe8/edit?usp=sharing"",""นราธิวาส!J310"")"),1)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IFERROR(__xludf.DUMMYFUNCTION("IMPORTRANGE(""https://docs.google.com/spreadsheets/d/1IYY_tgx_IHuhSq3AJ5eI5OnqOPBNLWSHKh2a30DoXe8/edit?usp=sharing"",""นราธิวาส!I311"")"),55)</f>
        <v>55</v>
      </c>
      <c r="J416" s="207">
        <f ca="1">IFERROR(__xludf.DUMMYFUNCTION("IMPORTRANGE(""https://docs.google.com/spreadsheets/d/1IYY_tgx_IHuhSq3AJ5eI5OnqOPBNLWSHKh2a30DoXe8/edit?usp=sharing"",""นราธิวาส!J311"")"),55)</f>
        <v>55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IFERROR(__xludf.DUMMYFUNCTION("IMPORTRANGE(""https://docs.google.com/spreadsheets/d/1IYY_tgx_IHuhSq3AJ5eI5OnqOPBNLWSHKh2a30DoXe8/edit?usp=sharing"",""นราธิวาส!I312"")"),25)</f>
        <v>25</v>
      </c>
      <c r="J417" s="398">
        <f ca="1">IFERROR(__xludf.DUMMYFUNCTION("IMPORTRANGE(""https://docs.google.com/spreadsheets/d/1IYY_tgx_IHuhSq3AJ5eI5OnqOPBNLWSHKh2a30DoXe8/edit?usp=sharing"",""นราธิวาส!J312"")"),25)</f>
        <v>25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IFERROR(__xludf.DUMMYFUNCTION("IMPORTRANGE(""https://docs.google.com/spreadsheets/d/1IYY_tgx_IHuhSq3AJ5eI5OnqOPBNLWSHKh2a30DoXe8/edit?usp=sharing"",""นราธิวาส!I313"")"),75)</f>
        <v>75</v>
      </c>
      <c r="J418" s="399">
        <f ca="1">IFERROR(__xludf.DUMMYFUNCTION("IMPORTRANGE(""https://docs.google.com/spreadsheets/d/1IYY_tgx_IHuhSq3AJ5eI5OnqOPBNLWSHKh2a30DoXe8/edit?usp=sharing"",""นราธิวาส!J313"")"),75)</f>
        <v>75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IFERROR(__xludf.DUMMYFUNCTION("IMPORTRANGE(""https://docs.google.com/spreadsheets/d/1IYY_tgx_IHuhSq3AJ5eI5OnqOPBNLWSHKh2a30DoXe8/edit?usp=sharing"",""นราธิวาส!I314"")"),25)</f>
        <v>25</v>
      </c>
      <c r="J419" s="400">
        <f ca="1">IFERROR(__xludf.DUMMYFUNCTION("IMPORTRANGE(""https://docs.google.com/spreadsheets/d/1IYY_tgx_IHuhSq3AJ5eI5OnqOPBNLWSHKh2a30DoXe8/edit?usp=sharing"",""นราธิวาส!J314"")"),25)</f>
        <v>25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IFERROR(__xludf.DUMMYFUNCTION("IMPORTRANGE(""https://docs.google.com/spreadsheets/d/1IYY_tgx_IHuhSq3AJ5eI5OnqOPBNLWSHKh2a30DoXe8/edit?usp=sharing"",""นราธิวาส!I315"")"),25)</f>
        <v>25</v>
      </c>
      <c r="J420" s="400">
        <f ca="1">IFERROR(__xludf.DUMMYFUNCTION("IMPORTRANGE(""https://docs.google.com/spreadsheets/d/1IYY_tgx_IHuhSq3AJ5eI5OnqOPBNLWSHKh2a30DoXe8/edit?usp=sharing"",""นราธิวาส!J315"")"),25)</f>
        <v>25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IFERROR(__xludf.DUMMYFUNCTION("IMPORTRANGE(""https://docs.google.com/spreadsheets/d/1IYY_tgx_IHuhSq3AJ5eI5OnqOPBNLWSHKh2a30DoXe8/edit?usp=sharing"",""นราธิวาส!I316"")"),20)</f>
        <v>20</v>
      </c>
      <c r="J421" s="398">
        <f ca="1">IFERROR(__xludf.DUMMYFUNCTION("IMPORTRANGE(""https://docs.google.com/spreadsheets/d/1IYY_tgx_IHuhSq3AJ5eI5OnqOPBNLWSHKh2a30DoXe8/edit?usp=sharing"",""นราธิวาส!J316"")"),20)</f>
        <v>20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IFERROR(__xludf.DUMMYFUNCTION("IMPORTRANGE(""https://docs.google.com/spreadsheets/d/1IYY_tgx_IHuhSq3AJ5eI5OnqOPBNLWSHKh2a30DoXe8/edit?usp=sharing"",""นราธิวาส!I317"")"),60)</f>
        <v>60</v>
      </c>
      <c r="J422" s="399">
        <f ca="1">IFERROR(__xludf.DUMMYFUNCTION("IMPORTRANGE(""https://docs.google.com/spreadsheets/d/1IYY_tgx_IHuhSq3AJ5eI5OnqOPBNLWSHKh2a30DoXe8/edit?usp=sharing"",""นราธิวาส!J317"")"),60)</f>
        <v>60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IFERROR(__xludf.DUMMYFUNCTION("IMPORTRANGE(""https://docs.google.com/spreadsheets/d/1IYY_tgx_IHuhSq3AJ5eI5OnqOPBNLWSHKh2a30DoXe8/edit?usp=sharing"",""นราธิวาส!I318"")"),20)</f>
        <v>20</v>
      </c>
      <c r="J423" s="400">
        <f ca="1">IFERROR(__xludf.DUMMYFUNCTION("IMPORTRANGE(""https://docs.google.com/spreadsheets/d/1IYY_tgx_IHuhSq3AJ5eI5OnqOPBNLWSHKh2a30DoXe8/edit?usp=sharing"",""นราธิวาส!J318"")"),20)</f>
        <v>20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IFERROR(__xludf.DUMMYFUNCTION("IMPORTRANGE(""https://docs.google.com/spreadsheets/d/1IYY_tgx_IHuhSq3AJ5eI5OnqOPBNLWSHKh2a30DoXe8/edit?usp=sharing"",""นราธิวาส!I319"")"),20)</f>
        <v>20</v>
      </c>
      <c r="J424" s="400">
        <f ca="1">IFERROR(__xludf.DUMMYFUNCTION("IMPORTRANGE(""https://docs.google.com/spreadsheets/d/1IYY_tgx_IHuhSq3AJ5eI5OnqOPBNLWSHKh2a30DoXe8/edit?usp=sharing"",""นราธิวาส!J319"")"),20)</f>
        <v>20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IFERROR(__xludf.DUMMYFUNCTION("IMPORTRANGE(""https://docs.google.com/spreadsheets/d/1IYY_tgx_IHuhSq3AJ5eI5OnqOPBNLWSHKh2a30DoXe8/edit?usp=sharing"",""นราธิวาส!I320"")"),20)</f>
        <v>20</v>
      </c>
      <c r="J425" s="400">
        <f ca="1">IFERROR(__xludf.DUMMYFUNCTION("IMPORTRANGE(""https://docs.google.com/spreadsheets/d/1IYY_tgx_IHuhSq3AJ5eI5OnqOPBNLWSHKh2a30DoXe8/edit?usp=sharing"",""นราธิวาส!J320"")"),20)</f>
        <v>20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IFERROR(__xludf.DUMMYFUNCTION("IMPORTRANGE(""https://docs.google.com/spreadsheets/d/1IYY_tgx_IHuhSq3AJ5eI5OnqOPBNLWSHKh2a30DoXe8/edit?usp=sharing"",""นราธิวาส!I321"")"),10)</f>
        <v>10</v>
      </c>
      <c r="J426" s="398">
        <f ca="1">IFERROR(__xludf.DUMMYFUNCTION("IMPORTRANGE(""https://docs.google.com/spreadsheets/d/1IYY_tgx_IHuhSq3AJ5eI5OnqOPBNLWSHKh2a30DoXe8/edit?usp=sharing"",""นราธิวาส!J321"")"),10)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IFERROR(__xludf.DUMMYFUNCTION("IMPORTRANGE(""https://docs.google.com/spreadsheets/d/1IYY_tgx_IHuhSq3AJ5eI5OnqOPBNLWSHKh2a30DoXe8/edit?usp=sharing"",""นราธิวาส!I322"")"),30)</f>
        <v>30</v>
      </c>
      <c r="J427" s="399">
        <f ca="1">IFERROR(__xludf.DUMMYFUNCTION("IMPORTRANGE(""https://docs.google.com/spreadsheets/d/1IYY_tgx_IHuhSq3AJ5eI5OnqOPBNLWSHKh2a30DoXe8/edit?usp=sharing"",""นราธิวาส!J322"")"),30)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IFERROR(__xludf.DUMMYFUNCTION("IMPORTRANGE(""https://docs.google.com/spreadsheets/d/1IYY_tgx_IHuhSq3AJ5eI5OnqOPBNLWSHKh2a30DoXe8/edit?usp=sharing"",""นราธิวาส!I323"")"),10)</f>
        <v>10</v>
      </c>
      <c r="J428" s="400">
        <f ca="1">IFERROR(__xludf.DUMMYFUNCTION("IMPORTRANGE(""https://docs.google.com/spreadsheets/d/1IYY_tgx_IHuhSq3AJ5eI5OnqOPBNLWSHKh2a30DoXe8/edit?usp=sharing"",""นราธิวาส!J323"")"),10)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IFERROR(__xludf.DUMMYFUNCTION("IMPORTRANGE(""https://docs.google.com/spreadsheets/d/1IYY_tgx_IHuhSq3AJ5eI5OnqOPBNLWSHKh2a30DoXe8/edit?usp=sharing"",""นราธิวาส!I324"")"),10)</f>
        <v>10</v>
      </c>
      <c r="J429" s="400">
        <f ca="1">IFERROR(__xludf.DUMMYFUNCTION("IMPORTRANGE(""https://docs.google.com/spreadsheets/d/1IYY_tgx_IHuhSq3AJ5eI5OnqOPBNLWSHKh2a30DoXe8/edit?usp=sharing"",""นราธิวาส!J324"")"),10)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IFERROR(__xludf.DUMMYFUNCTION("IMPORTRANGE(""https://docs.google.com/spreadsheets/d/1IYY_tgx_IHuhSq3AJ5eI5OnqOPBNLWSHKh2a30DoXe8/edit?usp=sharing"",""นราธิวาส!I325"")"),45)</f>
        <v>45</v>
      </c>
      <c r="J430" s="398">
        <f ca="1">IFERROR(__xludf.DUMMYFUNCTION("IMPORTRANGE(""https://docs.google.com/spreadsheets/d/1IYY_tgx_IHuhSq3AJ5eI5OnqOPBNLWSHKh2a30DoXe8/edit?usp=sharing"",""นราธิวาส!J325"")"),45)</f>
        <v>45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IFERROR(__xludf.DUMMYFUNCTION("IMPORTRANGE(""https://docs.google.com/spreadsheets/d/1IYY_tgx_IHuhSq3AJ5eI5OnqOPBNLWSHKh2a30DoXe8/edit?usp=sharing"",""นราธิวาส!I326"")"),25)</f>
        <v>25</v>
      </c>
      <c r="J431" s="400">
        <f ca="1">IFERROR(__xludf.DUMMYFUNCTION("IMPORTRANGE(""https://docs.google.com/spreadsheets/d/1IYY_tgx_IHuhSq3AJ5eI5OnqOPBNLWSHKh2a30DoXe8/edit?usp=sharing"",""นราธิวาส!J326"")"),25)</f>
        <v>25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IFERROR(__xludf.DUMMYFUNCTION("IMPORTRANGE(""https://docs.google.com/spreadsheets/d/1IYY_tgx_IHuhSq3AJ5eI5OnqOPBNLWSHKh2a30DoXe8/edit?usp=sharing"",""นราธิวาส!I327"")"),20)</f>
        <v>20</v>
      </c>
      <c r="J432" s="400">
        <f ca="1">IFERROR(__xludf.DUMMYFUNCTION("IMPORTRANGE(""https://docs.google.com/spreadsheets/d/1IYY_tgx_IHuhSq3AJ5eI5OnqOPBNLWSHKh2a30DoXe8/edit?usp=sharing"",""นราธิวาส!J327"")"),20)</f>
        <v>20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IFERROR(__xludf.DUMMYFUNCTION("IMPORTRANGE(""https://docs.google.com/spreadsheets/d/1IYY_tgx_IHuhSq3AJ5eI5OnqOPBNLWSHKh2a30DoXe8/edit?usp=sharing"",""นราธิวาส!J328"")"),0)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IFERROR(__xludf.DUMMYFUNCTION("IMPORTRANGE(""https://docs.google.com/spreadsheets/d/1IYY_tgx_IHuhSq3AJ5eI5OnqOPBNLWSHKh2a30DoXe8/edit?usp=sharing"",""นราธิวาส!J329"")"),0)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IFERROR(__xludf.DUMMYFUNCTION("IMPORTRANGE(""https://docs.google.com/spreadsheets/d/1IYY_tgx_IHuhSq3AJ5eI5OnqOPBNLWSHKh2a30DoXe8/edit?usp=sharing"",""นราธิวาส!I330"")"),10)</f>
        <v>10</v>
      </c>
      <c r="J435" s="416">
        <f ca="1">IFERROR(__xludf.DUMMYFUNCTION("IMPORTRANGE(""https://docs.google.com/spreadsheets/d/1IYY_tgx_IHuhSq3AJ5eI5OnqOPBNLWSHKh2a30DoXe8/edit?usp=sharing"",""นราธิวาส!J330"")"),10)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IFERROR(__xludf.DUMMYFUNCTION("IMPORTRANGE(""https://docs.google.com/spreadsheets/d/1IYY_tgx_IHuhSq3AJ5eI5OnqOPBNLWSHKh2a30DoXe8/edit?usp=sharing"",""นราธิวาส!L330"")"),980000)</f>
        <v>980000</v>
      </c>
      <c r="M435" s="418"/>
      <c r="N435" s="418">
        <f ca="1">IFERROR(__xludf.DUMMYFUNCTION("IMPORTRANGE(""https://docs.google.com/spreadsheets/d/1IYY_tgx_IHuhSq3AJ5eI5OnqOPBNLWSHKh2a30DoXe8/edit?usp=sharing"",""นราธิวาส!M330"")"),59357.74)</f>
        <v>59357.74</v>
      </c>
      <c r="O435" s="418">
        <f t="shared" ref="O435:O439" ca="1" si="114">+IF(L435&gt;0,N435*100/L435,0)</f>
        <v>6.0569122448979593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IFERROR(__xludf.DUMMYFUNCTION("IMPORTRANGE(""https://docs.google.com/spreadsheets/d/1IYY_tgx_IHuhSq3AJ5eI5OnqOPBNLWSHKh2a30DoXe8/edit?usp=sharing"",""นราธิวาส!L331"")"),0)</f>
        <v>0</v>
      </c>
      <c r="M436" s="168"/>
      <c r="N436" s="175">
        <f ca="1">IFERROR(__xludf.DUMMYFUNCTION("IMPORTRANGE(""https://docs.google.com/spreadsheets/d/1IYY_tgx_IHuhSq3AJ5eI5OnqOPBNLWSHKh2a30DoXe8/edit?usp=sharing"",""นราธิวาส!M331"")"),0)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384" t="s">
        <v>248</v>
      </c>
      <c r="H437" s="165" t="s">
        <v>12</v>
      </c>
      <c r="I437" s="166"/>
      <c r="J437" s="166"/>
      <c r="K437" s="167"/>
      <c r="L437" s="526">
        <f ca="1">IFERROR(__xludf.DUMMYFUNCTION("IMPORTRANGE(""https://docs.google.com/spreadsheets/d/1IYY_tgx_IHuhSq3AJ5eI5OnqOPBNLWSHKh2a30DoXe8/edit?usp=sharing"",""นราธิวาส!L332"")"),980000)</f>
        <v>980000</v>
      </c>
      <c r="M437" s="169"/>
      <c r="N437" s="175">
        <f ca="1">IFERROR(__xludf.DUMMYFUNCTION("IMPORTRANGE(""https://docs.google.com/spreadsheets/d/1IYY_tgx_IHuhSq3AJ5eI5OnqOPBNLWSHKh2a30DoXe8/edit?usp=sharing"",""นราธิวาส!M332"")"),59357.74)</f>
        <v>59357.74</v>
      </c>
      <c r="O437" s="175">
        <f t="shared" ca="1" si="114"/>
        <v>6.0569122448979593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IFERROR(__xludf.DUMMYFUNCTION("IMPORTRANGE(""https://docs.google.com/spreadsheets/d/1IYY_tgx_IHuhSq3AJ5eI5OnqOPBNLWSHKh2a30DoXe8/edit?usp=sharing"",""นราธิวาส!L333"")"),0)</f>
        <v>0</v>
      </c>
      <c r="M438" s="175"/>
      <c r="N438" s="175">
        <f ca="1">IFERROR(__xludf.DUMMYFUNCTION("IMPORTRANGE(""https://docs.google.com/spreadsheets/d/1IYY_tgx_IHuhSq3AJ5eI5OnqOPBNLWSHKh2a30DoXe8/edit?usp=sharing"",""นราธิวาส!M333"")"),0)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IFERROR(__xludf.DUMMYFUNCTION("IMPORTRANGE(""https://docs.google.com/spreadsheets/d/1IYY_tgx_IHuhSq3AJ5eI5OnqOPBNLWSHKh2a30DoXe8/edit?usp=sharing"",""นราธิวาส!L334"")"),76000)</f>
        <v>76000</v>
      </c>
      <c r="M439" s="175"/>
      <c r="N439" s="175">
        <f ca="1">IFERROR(__xludf.DUMMYFUNCTION("IMPORTRANGE(""https://docs.google.com/spreadsheets/d/1IYY_tgx_IHuhSq3AJ5eI5OnqOPBNLWSHKh2a30DoXe8/edit?usp=sharing"",""นราธิวาส!M334"")"),59357.74)</f>
        <v>59357.74</v>
      </c>
      <c r="O439" s="175">
        <f t="shared" ca="1" si="114"/>
        <v>78.102289473684209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IFERROR(__xludf.DUMMYFUNCTION("IMPORTRANGE(""https://docs.google.com/spreadsheets/d/1IYY_tgx_IHuhSq3AJ5eI5OnqOPBNLWSHKh2a30DoXe8/edit?usp=sharing"",""นราธิวาส!M335"")"),20200)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IFERROR(__xludf.DUMMYFUNCTION("IMPORTRANGE(""https://docs.google.com/spreadsheets/d/1IYY_tgx_IHuhSq3AJ5eI5OnqOPBNLWSHKh2a30DoXe8/edit?usp=sharing"",""นราธิวาส!M336"")"),0)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IFERROR(__xludf.DUMMYFUNCTION("IMPORTRANGE(""https://docs.google.com/spreadsheets/d/1IYY_tgx_IHuhSq3AJ5eI5OnqOPBNLWSHKh2a30DoXe8/edit?usp=sharing"",""นราธิวาส!M337"")"),0)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IFERROR(__xludf.DUMMYFUNCTION("IMPORTRANGE(""https://docs.google.com/spreadsheets/d/1IYY_tgx_IHuhSq3AJ5eI5OnqOPBNLWSHKh2a30DoXe8/edit?usp=sharing"",""นราธิวาส!M338"")"),39157.74)</f>
        <v>39157.74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IFERROR(__xludf.DUMMYFUNCTION("IMPORTRANGE(""https://docs.google.com/spreadsheets/d/1IYY_tgx_IHuhSq3AJ5eI5OnqOPBNLWSHKh2a30DoXe8/edit?usp=sharing"",""นราธิวาส!J340"")"),0)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IFERROR(__xludf.DUMMYFUNCTION("IMPORTRANGE(""https://docs.google.com/spreadsheets/d/1IYY_tgx_IHuhSq3AJ5eI5OnqOPBNLWSHKh2a30DoXe8/edit?usp=sharing"",""นราธิวาส!J341"")"),1)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IFERROR(__xludf.DUMMYFUNCTION("IMPORTRANGE(""https://docs.google.com/spreadsheets/d/1IYY_tgx_IHuhSq3AJ5eI5OnqOPBNLWSHKh2a30DoXe8/edit?usp=sharing"",""นราธิวาส!J342"")"),1)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IFERROR(__xludf.DUMMYFUNCTION("IMPORTRANGE(""https://docs.google.com/spreadsheets/d/1IYY_tgx_IHuhSq3AJ5eI5OnqOPBNLWSHKh2a30DoXe8/edit?usp=sharing"",""นราธิวาส!J343"")"),1)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IFERROR(__xludf.DUMMYFUNCTION("IMPORTRANGE(""https://docs.google.com/spreadsheets/d/1IYY_tgx_IHuhSq3AJ5eI5OnqOPBNLWSHKh2a30DoXe8/edit?usp=sharing"",""นราธิวาส!I344"")"),10)</f>
        <v>10</v>
      </c>
      <c r="J449" s="207">
        <f ca="1">IFERROR(__xludf.DUMMYFUNCTION("IMPORTRANGE(""https://docs.google.com/spreadsheets/d/1IYY_tgx_IHuhSq3AJ5eI5OnqOPBNLWSHKh2a30DoXe8/edit?usp=sharing"",""นราธิวาส!J344"")"),10)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IFERROR(__xludf.DUMMYFUNCTION("IMPORTRANGE(""https://docs.google.com/spreadsheets/d/1IYY_tgx_IHuhSq3AJ5eI5OnqOPBNLWSHKh2a30DoXe8/edit?usp=sharing"",""นราธิวาส!I345"")"),10)</f>
        <v>10</v>
      </c>
      <c r="J450" s="195">
        <f ca="1">IFERROR(__xludf.DUMMYFUNCTION("IMPORTRANGE(""https://docs.google.com/spreadsheets/d/1IYY_tgx_IHuhSq3AJ5eI5OnqOPBNLWSHKh2a30DoXe8/edit?usp=sharing"",""นราธิวาส!J345"")"),10)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IFERROR(__xludf.DUMMYFUNCTION("IMPORTRANGE(""https://docs.google.com/spreadsheets/d/1IYY_tgx_IHuhSq3AJ5eI5OnqOPBNLWSHKh2a30DoXe8/edit?usp=sharing"",""นราธิวาส!I346"")"),0)</f>
        <v>0</v>
      </c>
      <c r="J451" s="194">
        <f ca="1">IFERROR(__xludf.DUMMYFUNCTION("IMPORTRANGE(""https://docs.google.com/spreadsheets/d/1IYY_tgx_IHuhSq3AJ5eI5OnqOPBNLWSHKh2a30DoXe8/edit?usp=sharing"",""นราธิวาส!J346"")"),0)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IFERROR(__xludf.DUMMYFUNCTION("IMPORTRANGE(""https://docs.google.com/spreadsheets/d/1IYY_tgx_IHuhSq3AJ5eI5OnqOPBNLWSHKh2a30DoXe8/edit?usp=sharing"",""นราธิวาส!I347"")"),0)</f>
        <v>0</v>
      </c>
      <c r="J452" s="194">
        <f ca="1">IFERROR(__xludf.DUMMYFUNCTION("IMPORTRANGE(""https://docs.google.com/spreadsheets/d/1IYY_tgx_IHuhSq3AJ5eI5OnqOPBNLWSHKh2a30DoXe8/edit?usp=sharing"",""นราธิวาส!J347"")"),0)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IFERROR(__xludf.DUMMYFUNCTION("IMPORTRANGE(""https://docs.google.com/spreadsheets/d/1IYY_tgx_IHuhSq3AJ5eI5OnqOPBNLWSHKh2a30DoXe8/edit?usp=sharing"",""นราธิวาส!J348"")"),0)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IFERROR(__xludf.DUMMYFUNCTION("IMPORTRANGE(""https://docs.google.com/spreadsheets/d/1IYY_tgx_IHuhSq3AJ5eI5OnqOPBNLWSHKh2a30DoXe8/edit?usp=sharing"",""นราธิวาส!J349"")"),0)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IFERROR(__xludf.DUMMYFUNCTION("IMPORTRANGE(""https://docs.google.com/spreadsheets/d/1IYY_tgx_IHuhSq3AJ5eI5OnqOPBNLWSHKh2a30DoXe8/edit?usp=sharing"",""นราธิวาส!I350"")"),3019)</f>
        <v>3019</v>
      </c>
      <c r="J455" s="377">
        <f ca="1">IFERROR(__xludf.DUMMYFUNCTION("IMPORTRANGE(""https://docs.google.com/spreadsheets/d/1IYY_tgx_IHuhSq3AJ5eI5OnqOPBNLWSHKh2a30DoXe8/edit?usp=sharing"",""นราธิวาส!J350"")"),3020)</f>
        <v>3020</v>
      </c>
      <c r="K455" s="378">
        <f ca="1">IF(I455&gt;0,J455*100/I455,0)</f>
        <v>100.03312355084465</v>
      </c>
      <c r="L455" s="379">
        <f ca="1">IFERROR(__xludf.DUMMYFUNCTION("IMPORTRANGE(""https://docs.google.com/spreadsheets/d/1IYY_tgx_IHuhSq3AJ5eI5OnqOPBNLWSHKh2a30DoXe8/edit?usp=sharing"",""นราธิวาส!L350"")"),54257.5)</f>
        <v>54257.5</v>
      </c>
      <c r="M455" s="379"/>
      <c r="N455" s="379">
        <f ca="1">IFERROR(__xludf.DUMMYFUNCTION("IMPORTRANGE(""https://docs.google.com/spreadsheets/d/1IYY_tgx_IHuhSq3AJ5eI5OnqOPBNLWSHKh2a30DoXe8/edit?usp=sharing"",""นราธิวาส!M350"")"),24624)</f>
        <v>24624</v>
      </c>
      <c r="O455" s="379">
        <f t="shared" ref="O455:O459" ca="1" si="116">+IF(L455&gt;0,N455*100/L455,0)</f>
        <v>45.383587522462335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IFERROR(__xludf.DUMMYFUNCTION("IMPORTRANGE(""https://docs.google.com/spreadsheets/d/1IYY_tgx_IHuhSq3AJ5eI5OnqOPBNLWSHKh2a30DoXe8/edit?usp=sharing"",""นราธิวาส!L351"")"),0)</f>
        <v>0</v>
      </c>
      <c r="M456" s="168"/>
      <c r="N456" s="175">
        <f ca="1">IFERROR(__xludf.DUMMYFUNCTION("IMPORTRANGE(""https://docs.google.com/spreadsheets/d/1IYY_tgx_IHuhSq3AJ5eI5OnqOPBNLWSHKh2a30DoXe8/edit?usp=sharing"",""นราธิวาส!M351"")"),0)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IFERROR(__xludf.DUMMYFUNCTION("IMPORTRANGE(""https://docs.google.com/spreadsheets/d/1IYY_tgx_IHuhSq3AJ5eI5OnqOPBNLWSHKh2a30DoXe8/edit?usp=sharing"",""นราธิวาส!L352"")"),54257.5)</f>
        <v>54257.5</v>
      </c>
      <c r="M457" s="169"/>
      <c r="N457" s="175">
        <f ca="1">IFERROR(__xludf.DUMMYFUNCTION("IMPORTRANGE(""https://docs.google.com/spreadsheets/d/1IYY_tgx_IHuhSq3AJ5eI5OnqOPBNLWSHKh2a30DoXe8/edit?usp=sharing"",""นราธิวาส!M352"")"),24624)</f>
        <v>24624</v>
      </c>
      <c r="O457" s="175">
        <f t="shared" ca="1" si="116"/>
        <v>45.383587522462335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IFERROR(__xludf.DUMMYFUNCTION("IMPORTRANGE(""https://docs.google.com/spreadsheets/d/1IYY_tgx_IHuhSq3AJ5eI5OnqOPBNLWSHKh2a30DoXe8/edit?usp=sharing"",""นราธิวาส!L353"")"),0)</f>
        <v>0</v>
      </c>
      <c r="M458" s="175"/>
      <c r="N458" s="175">
        <f ca="1">IFERROR(__xludf.DUMMYFUNCTION("IMPORTRANGE(""https://docs.google.com/spreadsheets/d/1IYY_tgx_IHuhSq3AJ5eI5OnqOPBNLWSHKh2a30DoXe8/edit?usp=sharing"",""นราธิวาส!M353"")"),0)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IFERROR(__xludf.DUMMYFUNCTION("IMPORTRANGE(""https://docs.google.com/spreadsheets/d/1IYY_tgx_IHuhSq3AJ5eI5OnqOPBNLWSHKh2a30DoXe8/edit?usp=sharing"",""นราธิวาส!L354"")"),54257.5)</f>
        <v>54257.5</v>
      </c>
      <c r="M459" s="175"/>
      <c r="N459" s="175">
        <f ca="1">IFERROR(__xludf.DUMMYFUNCTION("IMPORTRANGE(""https://docs.google.com/spreadsheets/d/1IYY_tgx_IHuhSq3AJ5eI5OnqOPBNLWSHKh2a30DoXe8/edit?usp=sharing"",""นราธิวาส!M354"")"),24624)</f>
        <v>24624</v>
      </c>
      <c r="O459" s="175">
        <f t="shared" ca="1" si="116"/>
        <v>45.383587522462335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IFERROR(__xludf.DUMMYFUNCTION("IMPORTRANGE(""https://docs.google.com/spreadsheets/d/1IYY_tgx_IHuhSq3AJ5eI5OnqOPBNLWSHKh2a30DoXe8/edit?usp=sharing"",""นราธิวาส!M355"")"),0)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IFERROR(__xludf.DUMMYFUNCTION("IMPORTRANGE(""https://docs.google.com/spreadsheets/d/1IYY_tgx_IHuhSq3AJ5eI5OnqOPBNLWSHKh2a30DoXe8/edit?usp=sharing"",""นราธิวาส!M356"")"),0)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IFERROR(__xludf.DUMMYFUNCTION("IMPORTRANGE(""https://docs.google.com/spreadsheets/d/1IYY_tgx_IHuhSq3AJ5eI5OnqOPBNLWSHKh2a30DoXe8/edit?usp=sharing"",""นราธิวาส!M357"")"),0)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IFERROR(__xludf.DUMMYFUNCTION("IMPORTRANGE(""https://docs.google.com/spreadsheets/d/1IYY_tgx_IHuhSq3AJ5eI5OnqOPBNLWSHKh2a30DoXe8/edit?usp=sharing"",""นราธิวาส!M358"")"),24624)</f>
        <v>24624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IFERROR(__xludf.DUMMYFUNCTION("IMPORTRANGE(""https://docs.google.com/spreadsheets/d/1IYY_tgx_IHuhSq3AJ5eI5OnqOPBNLWSHKh2a30DoXe8/edit?usp=sharing"",""นราธิวาส!I359"")"),3019)</f>
        <v>3019</v>
      </c>
      <c r="J464" s="273">
        <f ca="1">IFERROR(__xludf.DUMMYFUNCTION("IMPORTRANGE(""https://docs.google.com/spreadsheets/d/1IYY_tgx_IHuhSq3AJ5eI5OnqOPBNLWSHKh2a30DoXe8/edit?usp=sharing"",""นราธิวาส!J359"")"),3020)</f>
        <v>3020</v>
      </c>
      <c r="K464" s="274">
        <f t="shared" ref="K464:K515" ca="1" si="117">IF(I464&gt;0,J464*100/I464,0)</f>
        <v>100.03312355084465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IFERROR(__xludf.DUMMYFUNCTION("IMPORTRANGE(""https://docs.google.com/spreadsheets/d/1IYY_tgx_IHuhSq3AJ5eI5OnqOPBNLWSHKh2a30DoXe8/edit?usp=sharing"",""นราธิวาส!I360"")"),3019)</f>
        <v>3019</v>
      </c>
      <c r="J465" s="426">
        <f ca="1">IFERROR(__xludf.DUMMYFUNCTION("IMPORTRANGE(""https://docs.google.com/spreadsheets/d/1IYY_tgx_IHuhSq3AJ5eI5OnqOPBNLWSHKh2a30DoXe8/edit?usp=sharing"",""นราธิวาส!J360"")"),3020)</f>
        <v>3020</v>
      </c>
      <c r="K465" s="208">
        <f t="shared" ca="1" si="117"/>
        <v>100.03312355084465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IFERROR(__xludf.DUMMYFUNCTION("IMPORTRANGE(""https://docs.google.com/spreadsheets/d/1IYY_tgx_IHuhSq3AJ5eI5OnqOPBNLWSHKh2a30DoXe8/edit?usp=sharing"",""นราธิวาส!I361"")"),902)</f>
        <v>902</v>
      </c>
      <c r="J466" s="426">
        <f ca="1">IFERROR(__xludf.DUMMYFUNCTION("IMPORTRANGE(""https://docs.google.com/spreadsheets/d/1IYY_tgx_IHuhSq3AJ5eI5OnqOPBNLWSHKh2a30DoXe8/edit?usp=sharing"",""นราธิวาส!J361"")"),902)</f>
        <v>902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IFERROR(__xludf.DUMMYFUNCTION("IMPORTRANGE(""https://docs.google.com/spreadsheets/d/1IYY_tgx_IHuhSq3AJ5eI5OnqOPBNLWSHKh2a30DoXe8/edit?usp=sharing"",""นราธิวาส!I362"")"),0)</f>
        <v>0</v>
      </c>
      <c r="J467" s="195">
        <f ca="1">IFERROR(__xludf.DUMMYFUNCTION("IMPORTRANGE(""https://docs.google.com/spreadsheets/d/1IYY_tgx_IHuhSq3AJ5eI5OnqOPBNLWSHKh2a30DoXe8/edit?usp=sharing"",""นราธิวาส!J362"")"),2999)</f>
        <v>2999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IFERROR(__xludf.DUMMYFUNCTION("IMPORTRANGE(""https://docs.google.com/spreadsheets/d/1IYY_tgx_IHuhSq3AJ5eI5OnqOPBNLWSHKh2a30DoXe8/edit?usp=sharing"",""นราธิวาส!I363"")"),0)</f>
        <v>0</v>
      </c>
      <c r="J468" s="195">
        <f ca="1">IFERROR(__xludf.DUMMYFUNCTION("IMPORTRANGE(""https://docs.google.com/spreadsheets/d/1IYY_tgx_IHuhSq3AJ5eI5OnqOPBNLWSHKh2a30DoXe8/edit?usp=sharing"",""นราธิวาส!J363"")"),894)</f>
        <v>894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IFERROR(__xludf.DUMMYFUNCTION("IMPORTRANGE(""https://docs.google.com/spreadsheets/d/1IYY_tgx_IHuhSq3AJ5eI5OnqOPBNLWSHKh2a30DoXe8/edit?usp=sharing"",""นราธิวาส!I364"")"),0)</f>
        <v>0</v>
      </c>
      <c r="J469" s="195">
        <f ca="1">IFERROR(__xludf.DUMMYFUNCTION("IMPORTRANGE(""https://docs.google.com/spreadsheets/d/1IYY_tgx_IHuhSq3AJ5eI5OnqOPBNLWSHKh2a30DoXe8/edit?usp=sharing"",""นราธิวาส!J364"")"),0)</f>
        <v>0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IFERROR(__xludf.DUMMYFUNCTION("IMPORTRANGE(""https://docs.google.com/spreadsheets/d/1IYY_tgx_IHuhSq3AJ5eI5OnqOPBNLWSHKh2a30DoXe8/edit?usp=sharing"",""นราธิวาส!I365"")"),0)</f>
        <v>0</v>
      </c>
      <c r="J470" s="195">
        <f ca="1">IFERROR(__xludf.DUMMYFUNCTION("IMPORTRANGE(""https://docs.google.com/spreadsheets/d/1IYY_tgx_IHuhSq3AJ5eI5OnqOPBNLWSHKh2a30DoXe8/edit?usp=sharing"",""นราธิวาส!J365"")"),0)</f>
        <v>0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IFERROR(__xludf.DUMMYFUNCTION("IMPORTRANGE(""https://docs.google.com/spreadsheets/d/1IYY_tgx_IHuhSq3AJ5eI5OnqOPBNLWSHKh2a30DoXe8/edit?usp=sharing"",""นราธิวาส!I366"")"),0)</f>
        <v>0</v>
      </c>
      <c r="J471" s="195">
        <f ca="1">IFERROR(__xludf.DUMMYFUNCTION("IMPORTRANGE(""https://docs.google.com/spreadsheets/d/1IYY_tgx_IHuhSq3AJ5eI5OnqOPBNLWSHKh2a30DoXe8/edit?usp=sharing"",""นราธิวาส!J366"")"),21)</f>
        <v>21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IFERROR(__xludf.DUMMYFUNCTION("IMPORTRANGE(""https://docs.google.com/spreadsheets/d/1IYY_tgx_IHuhSq3AJ5eI5OnqOPBNLWSHKh2a30DoXe8/edit?usp=sharing"",""นราธิวาส!I367"")"),0)</f>
        <v>0</v>
      </c>
      <c r="J472" s="195">
        <f ca="1">IFERROR(__xludf.DUMMYFUNCTION("IMPORTRANGE(""https://docs.google.com/spreadsheets/d/1IYY_tgx_IHuhSq3AJ5eI5OnqOPBNLWSHKh2a30DoXe8/edit?usp=sharing"",""นราธิวาส!J367"")"),8)</f>
        <v>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IFERROR(__xludf.DUMMYFUNCTION("IMPORTRANGE(""https://docs.google.com/spreadsheets/d/1IYY_tgx_IHuhSq3AJ5eI5OnqOPBNLWSHKh2a30DoXe8/edit?usp=sharing"",""นราธิวาส!I368"")"),3019)</f>
        <v>3019</v>
      </c>
      <c r="J473" s="426">
        <f ca="1">IFERROR(__xludf.DUMMYFUNCTION("IMPORTRANGE(""https://docs.google.com/spreadsheets/d/1IYY_tgx_IHuhSq3AJ5eI5OnqOPBNLWSHKh2a30DoXe8/edit?usp=sharing"",""นราธิวาส!J368"")"),3020)</f>
        <v>3020</v>
      </c>
      <c r="K473" s="208">
        <f t="shared" ca="1" si="117"/>
        <v>100.03312355084465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IFERROR(__xludf.DUMMYFUNCTION("IMPORTRANGE(""https://docs.google.com/spreadsheets/d/1IYY_tgx_IHuhSq3AJ5eI5OnqOPBNLWSHKh2a30DoXe8/edit?usp=sharing"",""นราธิวาส!I369"")"),902)</f>
        <v>902</v>
      </c>
      <c r="J474" s="426">
        <f ca="1">IFERROR(__xludf.DUMMYFUNCTION("IMPORTRANGE(""https://docs.google.com/spreadsheets/d/1IYY_tgx_IHuhSq3AJ5eI5OnqOPBNLWSHKh2a30DoXe8/edit?usp=sharing"",""นราธิวาส!J369"")"),902)</f>
        <v>902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IFERROR(__xludf.DUMMYFUNCTION("IMPORTRANGE(""https://docs.google.com/spreadsheets/d/1IYY_tgx_IHuhSq3AJ5eI5OnqOPBNLWSHKh2a30DoXe8/edit?usp=sharing"",""นราธิวาส!I370"")"),0)</f>
        <v>0</v>
      </c>
      <c r="J475" s="195">
        <f ca="1">IFERROR(__xludf.DUMMYFUNCTION("IMPORTRANGE(""https://docs.google.com/spreadsheets/d/1IYY_tgx_IHuhSq3AJ5eI5OnqOPBNLWSHKh2a30DoXe8/edit?usp=sharing"",""นราธิวาส!J370"")"),2999)</f>
        <v>2999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IFERROR(__xludf.DUMMYFUNCTION("IMPORTRANGE(""https://docs.google.com/spreadsheets/d/1IYY_tgx_IHuhSq3AJ5eI5OnqOPBNLWSHKh2a30DoXe8/edit?usp=sharing"",""นราธิวาส!I371"")"),0)</f>
        <v>0</v>
      </c>
      <c r="J476" s="195">
        <f ca="1">IFERROR(__xludf.DUMMYFUNCTION("IMPORTRANGE(""https://docs.google.com/spreadsheets/d/1IYY_tgx_IHuhSq3AJ5eI5OnqOPBNLWSHKh2a30DoXe8/edit?usp=sharing"",""นราธิวาส!J371"")"),894)</f>
        <v>894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IFERROR(__xludf.DUMMYFUNCTION("IMPORTRANGE(""https://docs.google.com/spreadsheets/d/1IYY_tgx_IHuhSq3AJ5eI5OnqOPBNLWSHKh2a30DoXe8/edit?usp=sharing"",""นราธิวาส!I372"")"),0)</f>
        <v>0</v>
      </c>
      <c r="J477" s="195">
        <f ca="1">IFERROR(__xludf.DUMMYFUNCTION("IMPORTRANGE(""https://docs.google.com/spreadsheets/d/1IYY_tgx_IHuhSq3AJ5eI5OnqOPBNLWSHKh2a30DoXe8/edit?usp=sharing"",""นราธิวาส!J372"")"),0)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IFERROR(__xludf.DUMMYFUNCTION("IMPORTRANGE(""https://docs.google.com/spreadsheets/d/1IYY_tgx_IHuhSq3AJ5eI5OnqOPBNLWSHKh2a30DoXe8/edit?usp=sharing"",""นราธิวาส!I373"")"),0)</f>
        <v>0</v>
      </c>
      <c r="J478" s="195">
        <f ca="1">IFERROR(__xludf.DUMMYFUNCTION("IMPORTRANGE(""https://docs.google.com/spreadsheets/d/1IYY_tgx_IHuhSq3AJ5eI5OnqOPBNLWSHKh2a30DoXe8/edit?usp=sharing"",""นราธิวาส!J373"")"),0)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IFERROR(__xludf.DUMMYFUNCTION("IMPORTRANGE(""https://docs.google.com/spreadsheets/d/1IYY_tgx_IHuhSq3AJ5eI5OnqOPBNLWSHKh2a30DoXe8/edit?usp=sharing"",""นราธิวาส!I374"")"),0)</f>
        <v>0</v>
      </c>
      <c r="J479" s="195">
        <f ca="1">IFERROR(__xludf.DUMMYFUNCTION("IMPORTRANGE(""https://docs.google.com/spreadsheets/d/1IYY_tgx_IHuhSq3AJ5eI5OnqOPBNLWSHKh2a30DoXe8/edit?usp=sharing"",""นราธิวาส!J374"")"),21)</f>
        <v>21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IFERROR(__xludf.DUMMYFUNCTION("IMPORTRANGE(""https://docs.google.com/spreadsheets/d/1IYY_tgx_IHuhSq3AJ5eI5OnqOPBNLWSHKh2a30DoXe8/edit?usp=sharing"",""นราธิวาส!I375"")"),0)</f>
        <v>0</v>
      </c>
      <c r="J480" s="195">
        <f ca="1">IFERROR(__xludf.DUMMYFUNCTION("IMPORTRANGE(""https://docs.google.com/spreadsheets/d/1IYY_tgx_IHuhSq3AJ5eI5OnqOPBNLWSHKh2a30DoXe8/edit?usp=sharing"",""นราธิวาส!J375"")"),8)</f>
        <v>8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IFERROR(__xludf.DUMMYFUNCTION("IMPORTRANGE(""https://docs.google.com/spreadsheets/d/1IYY_tgx_IHuhSq3AJ5eI5OnqOPBNLWSHKh2a30DoXe8/edit?usp=sharing"",""นราธิวาส!I376"")"),3019)</f>
        <v>3019</v>
      </c>
      <c r="J481" s="426">
        <f ca="1">IFERROR(__xludf.DUMMYFUNCTION("IMPORTRANGE(""https://docs.google.com/spreadsheets/d/1IYY_tgx_IHuhSq3AJ5eI5OnqOPBNLWSHKh2a30DoXe8/edit?usp=sharing"",""นราธิวาส!J376"")"),3020)</f>
        <v>3020</v>
      </c>
      <c r="K481" s="208">
        <f t="shared" ca="1" si="117"/>
        <v>100.03312355084465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IFERROR(__xludf.DUMMYFUNCTION("IMPORTRANGE(""https://docs.google.com/spreadsheets/d/1IYY_tgx_IHuhSq3AJ5eI5OnqOPBNLWSHKh2a30DoXe8/edit?usp=sharing"",""นราธิวาส!I377"")"),902)</f>
        <v>902</v>
      </c>
      <c r="J482" s="426">
        <f ca="1">IFERROR(__xludf.DUMMYFUNCTION("IMPORTRANGE(""https://docs.google.com/spreadsheets/d/1IYY_tgx_IHuhSq3AJ5eI5OnqOPBNLWSHKh2a30DoXe8/edit?usp=sharing"",""นราธิวาส!J377"")"),902)</f>
        <v>902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IFERROR(__xludf.DUMMYFUNCTION("IMPORTRANGE(""https://docs.google.com/spreadsheets/d/1IYY_tgx_IHuhSq3AJ5eI5OnqOPBNLWSHKh2a30DoXe8/edit?usp=sharing"",""นราธิวาส!I378"")"),0)</f>
        <v>0</v>
      </c>
      <c r="J483" s="195">
        <f ca="1">IFERROR(__xludf.DUMMYFUNCTION("IMPORTRANGE(""https://docs.google.com/spreadsheets/d/1IYY_tgx_IHuhSq3AJ5eI5OnqOPBNLWSHKh2a30DoXe8/edit?usp=sharing"",""นราธิวาส!J378"")"),2999)</f>
        <v>2999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IFERROR(__xludf.DUMMYFUNCTION("IMPORTRANGE(""https://docs.google.com/spreadsheets/d/1IYY_tgx_IHuhSq3AJ5eI5OnqOPBNLWSHKh2a30DoXe8/edit?usp=sharing"",""นราธิวาส!I379"")"),0)</f>
        <v>0</v>
      </c>
      <c r="J484" s="195">
        <f ca="1">IFERROR(__xludf.DUMMYFUNCTION("IMPORTRANGE(""https://docs.google.com/spreadsheets/d/1IYY_tgx_IHuhSq3AJ5eI5OnqOPBNLWSHKh2a30DoXe8/edit?usp=sharing"",""นราธิวาส!J379"")"),894)</f>
        <v>894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IFERROR(__xludf.DUMMYFUNCTION("IMPORTRANGE(""https://docs.google.com/spreadsheets/d/1IYY_tgx_IHuhSq3AJ5eI5OnqOPBNLWSHKh2a30DoXe8/edit?usp=sharing"",""นราธิวาส!I380"")"),0)</f>
        <v>0</v>
      </c>
      <c r="J485" s="195">
        <f ca="1">IFERROR(__xludf.DUMMYFUNCTION("IMPORTRANGE(""https://docs.google.com/spreadsheets/d/1IYY_tgx_IHuhSq3AJ5eI5OnqOPBNLWSHKh2a30DoXe8/edit?usp=sharing"",""นราธิวาส!J380"")"),0)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IFERROR(__xludf.DUMMYFUNCTION("IMPORTRANGE(""https://docs.google.com/spreadsheets/d/1IYY_tgx_IHuhSq3AJ5eI5OnqOPBNLWSHKh2a30DoXe8/edit?usp=sharing"",""นราธิวาส!I381"")"),0)</f>
        <v>0</v>
      </c>
      <c r="J486" s="195">
        <f ca="1">IFERROR(__xludf.DUMMYFUNCTION("IMPORTRANGE(""https://docs.google.com/spreadsheets/d/1IYY_tgx_IHuhSq3AJ5eI5OnqOPBNLWSHKh2a30DoXe8/edit?usp=sharing"",""นราธิวาส!J381"")"),0)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IFERROR(__xludf.DUMMYFUNCTION("IMPORTRANGE(""https://docs.google.com/spreadsheets/d/1IYY_tgx_IHuhSq3AJ5eI5OnqOPBNLWSHKh2a30DoXe8/edit?usp=sharing"",""นราธิวาส!I382"")"),0)</f>
        <v>0</v>
      </c>
      <c r="J487" s="426">
        <f ca="1">IFERROR(__xludf.DUMMYFUNCTION("IMPORTRANGE(""https://docs.google.com/spreadsheets/d/1IYY_tgx_IHuhSq3AJ5eI5OnqOPBNLWSHKh2a30DoXe8/edit?usp=sharing"",""นราธิวาส!J382"")"),21)</f>
        <v>21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IFERROR(__xludf.DUMMYFUNCTION("IMPORTRANGE(""https://docs.google.com/spreadsheets/d/1IYY_tgx_IHuhSq3AJ5eI5OnqOPBNLWSHKh2a30DoXe8/edit?usp=sharing"",""นราธิวาส!I383"")"),0)</f>
        <v>0</v>
      </c>
      <c r="J488" s="426">
        <f ca="1">IFERROR(__xludf.DUMMYFUNCTION("IMPORTRANGE(""https://docs.google.com/spreadsheets/d/1IYY_tgx_IHuhSq3AJ5eI5OnqOPBNLWSHKh2a30DoXe8/edit?usp=sharing"",""นราธิวาส!J383"")"),8)</f>
        <v>8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IFERROR(__xludf.DUMMYFUNCTION("IMPORTRANGE(""https://docs.google.com/spreadsheets/d/1IYY_tgx_IHuhSq3AJ5eI5OnqOPBNLWSHKh2a30DoXe8/edit?usp=sharing"",""นราธิวาส!I384"")"),0)</f>
        <v>0</v>
      </c>
      <c r="J489" s="195">
        <f ca="1">IFERROR(__xludf.DUMMYFUNCTION("IMPORTRANGE(""https://docs.google.com/spreadsheets/d/1IYY_tgx_IHuhSq3AJ5eI5OnqOPBNLWSHKh2a30DoXe8/edit?usp=sharing"",""นราธิวาส!J384"")"),21)</f>
        <v>21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IFERROR(__xludf.DUMMYFUNCTION("IMPORTRANGE(""https://docs.google.com/spreadsheets/d/1IYY_tgx_IHuhSq3AJ5eI5OnqOPBNLWSHKh2a30DoXe8/edit?usp=sharing"",""นราธิวาส!I385"")"),0)</f>
        <v>0</v>
      </c>
      <c r="J490" s="195">
        <f ca="1">IFERROR(__xludf.DUMMYFUNCTION("IMPORTRANGE(""https://docs.google.com/spreadsheets/d/1IYY_tgx_IHuhSq3AJ5eI5OnqOPBNLWSHKh2a30DoXe8/edit?usp=sharing"",""นราธิวาส!J385"")"),8)</f>
        <v>8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IFERROR(__xludf.DUMMYFUNCTION("IMPORTRANGE(""https://docs.google.com/spreadsheets/d/1IYY_tgx_IHuhSq3AJ5eI5OnqOPBNLWSHKh2a30DoXe8/edit?usp=sharing"",""นราธิวาส!I386"")"),0)</f>
        <v>0</v>
      </c>
      <c r="J491" s="195">
        <f ca="1">IFERROR(__xludf.DUMMYFUNCTION("IMPORTRANGE(""https://docs.google.com/spreadsheets/d/1IYY_tgx_IHuhSq3AJ5eI5OnqOPBNLWSHKh2a30DoXe8/edit?usp=sharing"",""นราธิวาส!J386"")"),0)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IFERROR(__xludf.DUMMYFUNCTION("IMPORTRANGE(""https://docs.google.com/spreadsheets/d/1IYY_tgx_IHuhSq3AJ5eI5OnqOPBNLWSHKh2a30DoXe8/edit?usp=sharing"",""นราธิวาส!I387"")"),0)</f>
        <v>0</v>
      </c>
      <c r="J492" s="195">
        <f ca="1">IFERROR(__xludf.DUMMYFUNCTION("IMPORTRANGE(""https://docs.google.com/spreadsheets/d/1IYY_tgx_IHuhSq3AJ5eI5OnqOPBNLWSHKh2a30DoXe8/edit?usp=sharing"",""นราธิวาส!J387"")"),0)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IFERROR(__xludf.DUMMYFUNCTION("IMPORTRANGE(""https://docs.google.com/spreadsheets/d/1IYY_tgx_IHuhSq3AJ5eI5OnqOPBNLWSHKh2a30DoXe8/edit?usp=sharing"",""นราธิวาส!I388"")"),0)</f>
        <v>0</v>
      </c>
      <c r="J493" s="195">
        <f ca="1">IFERROR(__xludf.DUMMYFUNCTION("IMPORTRANGE(""https://docs.google.com/spreadsheets/d/1IYY_tgx_IHuhSq3AJ5eI5OnqOPBNLWSHKh2a30DoXe8/edit?usp=sharing"",""นราธิวาส!J388"")"),0)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IFERROR(__xludf.DUMMYFUNCTION("IMPORTRANGE(""https://docs.google.com/spreadsheets/d/1IYY_tgx_IHuhSq3AJ5eI5OnqOPBNLWSHKh2a30DoXe8/edit?usp=sharing"",""นราธิวาส!I389"")"),0)</f>
        <v>0</v>
      </c>
      <c r="J494" s="442">
        <f ca="1">IFERROR(__xludf.DUMMYFUNCTION("IMPORTRANGE(""https://docs.google.com/spreadsheets/d/1IYY_tgx_IHuhSq3AJ5eI5OnqOPBNLWSHKh2a30DoXe8/edit?usp=sharing"",""นราธิวาส!J389"")"),0)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IFERROR(__xludf.DUMMYFUNCTION("IMPORTRANGE(""https://docs.google.com/spreadsheets/d/1IYY_tgx_IHuhSq3AJ5eI5OnqOPBNLWSHKh2a30DoXe8/edit?usp=sharing"",""นราธิวาส!I390"")"),0)</f>
        <v>0</v>
      </c>
      <c r="J495" s="442">
        <f ca="1">IFERROR(__xludf.DUMMYFUNCTION("IMPORTRANGE(""https://docs.google.com/spreadsheets/d/1IYY_tgx_IHuhSq3AJ5eI5OnqOPBNLWSHKh2a30DoXe8/edit?usp=sharing"",""นราธิวาส!J390"")"),0)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IFERROR(__xludf.DUMMYFUNCTION("IMPORTRANGE(""https://docs.google.com/spreadsheets/d/1IYY_tgx_IHuhSq3AJ5eI5OnqOPBNLWSHKh2a30DoXe8/edit?usp=sharing"",""นราธิวาส!I391"")"),0)</f>
        <v>0</v>
      </c>
      <c r="J496" s="442">
        <f ca="1">IFERROR(__xludf.DUMMYFUNCTION("IMPORTRANGE(""https://docs.google.com/spreadsheets/d/1IYY_tgx_IHuhSq3AJ5eI5OnqOPBNLWSHKh2a30DoXe8/edit?usp=sharing"",""นราธิวาส!J391"")"),0)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IFERROR(__xludf.DUMMYFUNCTION("IMPORTRANGE(""https://docs.google.com/spreadsheets/d/1IYY_tgx_IHuhSq3AJ5eI5OnqOPBNLWSHKh2a30DoXe8/edit?usp=sharing"",""นราธิวาส!I392"")"),0)</f>
        <v>0</v>
      </c>
      <c r="J497" s="449">
        <f ca="1">IFERROR(__xludf.DUMMYFUNCTION("IMPORTRANGE(""https://docs.google.com/spreadsheets/d/1IYY_tgx_IHuhSq3AJ5eI5OnqOPBNLWSHKh2a30DoXe8/edit?usp=sharing"",""นราธิวาส!J392"")"),0)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IFERROR(__xludf.DUMMYFUNCTION("IMPORTRANGE(""https://docs.google.com/spreadsheets/d/1IYY_tgx_IHuhSq3AJ5eI5OnqOPBNLWSHKh2a30DoXe8/edit?usp=sharing"",""นราธิวาส!I393"")"),0)</f>
        <v>0</v>
      </c>
      <c r="J498" s="426">
        <f ca="1">IFERROR(__xludf.DUMMYFUNCTION("IMPORTRANGE(""https://docs.google.com/spreadsheets/d/1IYY_tgx_IHuhSq3AJ5eI5OnqOPBNLWSHKh2a30DoXe8/edit?usp=sharing"",""นราธิวาส!J393"")"),0)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IFERROR(__xludf.DUMMYFUNCTION("IMPORTRANGE(""https://docs.google.com/spreadsheets/d/1IYY_tgx_IHuhSq3AJ5eI5OnqOPBNLWSHKh2a30DoXe8/edit?usp=sharing"",""นราธิวาส!I394"")"),0)</f>
        <v>0</v>
      </c>
      <c r="J499" s="426">
        <f ca="1">IFERROR(__xludf.DUMMYFUNCTION("IMPORTRANGE(""https://docs.google.com/spreadsheets/d/1IYY_tgx_IHuhSq3AJ5eI5OnqOPBNLWSHKh2a30DoXe8/edit?usp=sharing"",""นราธิวาส!J394"")"),0)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IFERROR(__xludf.DUMMYFUNCTION("IMPORTRANGE(""https://docs.google.com/spreadsheets/d/1IYY_tgx_IHuhSq3AJ5eI5OnqOPBNLWSHKh2a30DoXe8/edit?usp=sharing"",""นราธิวาส!I395"")"),0)</f>
        <v>0</v>
      </c>
      <c r="J500" s="166">
        <f ca="1">IFERROR(__xludf.DUMMYFUNCTION("IMPORTRANGE(""https://docs.google.com/spreadsheets/d/1IYY_tgx_IHuhSq3AJ5eI5OnqOPBNLWSHKh2a30DoXe8/edit?usp=sharing"",""นราธิวาส!J395"")"),0)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IFERROR(__xludf.DUMMYFUNCTION("IMPORTRANGE(""https://docs.google.com/spreadsheets/d/1IYY_tgx_IHuhSq3AJ5eI5OnqOPBNLWSHKh2a30DoXe8/edit?usp=sharing"",""นราธิวาส!I396"")"),0)</f>
        <v>0</v>
      </c>
      <c r="J501" s="166">
        <f ca="1">IFERROR(__xludf.DUMMYFUNCTION("IMPORTRANGE(""https://docs.google.com/spreadsheets/d/1IYY_tgx_IHuhSq3AJ5eI5OnqOPBNLWSHKh2a30DoXe8/edit?usp=sharing"",""นราธิวาส!J396"")"),0)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IFERROR(__xludf.DUMMYFUNCTION("IMPORTRANGE(""https://docs.google.com/spreadsheets/d/1IYY_tgx_IHuhSq3AJ5eI5OnqOPBNLWSHKh2a30DoXe8/edit?usp=sharing"",""นราธิวาส!I397"")"),0)</f>
        <v>0</v>
      </c>
      <c r="J502" s="195">
        <f ca="1">IFERROR(__xludf.DUMMYFUNCTION("IMPORTRANGE(""https://docs.google.com/spreadsheets/d/1IYY_tgx_IHuhSq3AJ5eI5OnqOPBNLWSHKh2a30DoXe8/edit?usp=sharing"",""นราธิวาส!J397"")"),0)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IFERROR(__xludf.DUMMYFUNCTION("IMPORTRANGE(""https://docs.google.com/spreadsheets/d/1IYY_tgx_IHuhSq3AJ5eI5OnqOPBNLWSHKh2a30DoXe8/edit?usp=sharing"",""นราธิวาส!I398"")"),0)</f>
        <v>0</v>
      </c>
      <c r="J503" s="204">
        <f ca="1">IFERROR(__xludf.DUMMYFUNCTION("IMPORTRANGE(""https://docs.google.com/spreadsheets/d/1IYY_tgx_IHuhSq3AJ5eI5OnqOPBNLWSHKh2a30DoXe8/edit?usp=sharing"",""นราธิวาส!J398"")"),0)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IFERROR(__xludf.DUMMYFUNCTION("IMPORTRANGE(""https://docs.google.com/spreadsheets/d/1IYY_tgx_IHuhSq3AJ5eI5OnqOPBNLWSHKh2a30DoXe8/edit?usp=sharing"",""นราธิวาส!I399"")"),0)</f>
        <v>0</v>
      </c>
      <c r="J504" s="195">
        <f ca="1">IFERROR(__xludf.DUMMYFUNCTION("IMPORTRANGE(""https://docs.google.com/spreadsheets/d/1IYY_tgx_IHuhSq3AJ5eI5OnqOPBNLWSHKh2a30DoXe8/edit?usp=sharing"",""นราธิวาส!J399"")"),0)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IFERROR(__xludf.DUMMYFUNCTION("IMPORTRANGE(""https://docs.google.com/spreadsheets/d/1IYY_tgx_IHuhSq3AJ5eI5OnqOPBNLWSHKh2a30DoXe8/edit?usp=sharing"",""นราธิวาส!I400"")"),0)</f>
        <v>0</v>
      </c>
      <c r="J505" s="204">
        <f ca="1">IFERROR(__xludf.DUMMYFUNCTION("IMPORTRANGE(""https://docs.google.com/spreadsheets/d/1IYY_tgx_IHuhSq3AJ5eI5OnqOPBNLWSHKh2a30DoXe8/edit?usp=sharing"",""นราธิวาส!J400"")"),0)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IFERROR(__xludf.DUMMYFUNCTION("IMPORTRANGE(""https://docs.google.com/spreadsheets/d/1IYY_tgx_IHuhSq3AJ5eI5OnqOPBNLWSHKh2a30DoXe8/edit?usp=sharing"",""นราธิวาส!I401"")"),0)</f>
        <v>0</v>
      </c>
      <c r="J506" s="195">
        <f ca="1">IFERROR(__xludf.DUMMYFUNCTION("IMPORTRANGE(""https://docs.google.com/spreadsheets/d/1IYY_tgx_IHuhSq3AJ5eI5OnqOPBNLWSHKh2a30DoXe8/edit?usp=sharing"",""นราธิวาส!J401"")"),0)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IFERROR(__xludf.DUMMYFUNCTION("IMPORTRANGE(""https://docs.google.com/spreadsheets/d/1IYY_tgx_IHuhSq3AJ5eI5OnqOPBNLWSHKh2a30DoXe8/edit?usp=sharing"",""นราธิวาส!I402"")"),0)</f>
        <v>0</v>
      </c>
      <c r="J507" s="204">
        <f ca="1">IFERROR(__xludf.DUMMYFUNCTION("IMPORTRANGE(""https://docs.google.com/spreadsheets/d/1IYY_tgx_IHuhSq3AJ5eI5OnqOPBNLWSHKh2a30DoXe8/edit?usp=sharing"",""นราธิวาส!J402"")"),0)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IFERROR(__xludf.DUMMYFUNCTION("IMPORTRANGE(""https://docs.google.com/spreadsheets/d/1IYY_tgx_IHuhSq3AJ5eI5OnqOPBNLWSHKh2a30DoXe8/edit?usp=sharing"",""นราธิวาส!I403"")"),0)</f>
        <v>0</v>
      </c>
      <c r="J508" s="166">
        <f ca="1">IFERROR(__xludf.DUMMYFUNCTION("IMPORTRANGE(""https://docs.google.com/spreadsheets/d/1IYY_tgx_IHuhSq3AJ5eI5OnqOPBNLWSHKh2a30DoXe8/edit?usp=sharing"",""นราธิวาส!J403"")"),0)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IFERROR(__xludf.DUMMYFUNCTION("IMPORTRANGE(""https://docs.google.com/spreadsheets/d/1IYY_tgx_IHuhSq3AJ5eI5OnqOPBNLWSHKh2a30DoXe8/edit?usp=sharing"",""นราธิวาส!I404"")"),0)</f>
        <v>0</v>
      </c>
      <c r="J509" s="166">
        <f ca="1">IFERROR(__xludf.DUMMYFUNCTION("IMPORTRANGE(""https://docs.google.com/spreadsheets/d/1IYY_tgx_IHuhSq3AJ5eI5OnqOPBNLWSHKh2a30DoXe8/edit?usp=sharing"",""นราธิวาส!J404"")"),0)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IFERROR(__xludf.DUMMYFUNCTION("IMPORTRANGE(""https://docs.google.com/spreadsheets/d/1IYY_tgx_IHuhSq3AJ5eI5OnqOPBNLWSHKh2a30DoXe8/edit?usp=sharing"",""นราธิวาส!I405"")"),0)</f>
        <v>0</v>
      </c>
      <c r="J510" s="204">
        <f ca="1">IFERROR(__xludf.DUMMYFUNCTION("IMPORTRANGE(""https://docs.google.com/spreadsheets/d/1IYY_tgx_IHuhSq3AJ5eI5OnqOPBNLWSHKh2a30DoXe8/edit?usp=sharing"",""นราธิวาส!J405"")"),0)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IFERROR(__xludf.DUMMYFUNCTION("IMPORTRANGE(""https://docs.google.com/spreadsheets/d/1IYY_tgx_IHuhSq3AJ5eI5OnqOPBNLWSHKh2a30DoXe8/edit?usp=sharing"",""นราธิวาส!I406"")"),0)</f>
        <v>0</v>
      </c>
      <c r="J511" s="204">
        <f ca="1">IFERROR(__xludf.DUMMYFUNCTION("IMPORTRANGE(""https://docs.google.com/spreadsheets/d/1IYY_tgx_IHuhSq3AJ5eI5OnqOPBNLWSHKh2a30DoXe8/edit?usp=sharing"",""นราธิวาส!J406"")"),0)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IFERROR(__xludf.DUMMYFUNCTION("IMPORTRANGE(""https://docs.google.com/spreadsheets/d/1IYY_tgx_IHuhSq3AJ5eI5OnqOPBNLWSHKh2a30DoXe8/edit?usp=sharing"",""นราธิวาส!I407"")"),0)</f>
        <v>0</v>
      </c>
      <c r="J512" s="204">
        <f ca="1">IFERROR(__xludf.DUMMYFUNCTION("IMPORTRANGE(""https://docs.google.com/spreadsheets/d/1IYY_tgx_IHuhSq3AJ5eI5OnqOPBNLWSHKh2a30DoXe8/edit?usp=sharing"",""นราธิวาส!J407"")"),0)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IFERROR(__xludf.DUMMYFUNCTION("IMPORTRANGE(""https://docs.google.com/spreadsheets/d/1IYY_tgx_IHuhSq3AJ5eI5OnqOPBNLWSHKh2a30DoXe8/edit?usp=sharing"",""นราธิวาส!I408"")"),0)</f>
        <v>0</v>
      </c>
      <c r="J513" s="204">
        <f ca="1">IFERROR(__xludf.DUMMYFUNCTION("IMPORTRANGE(""https://docs.google.com/spreadsheets/d/1IYY_tgx_IHuhSq3AJ5eI5OnqOPBNLWSHKh2a30DoXe8/edit?usp=sharing"",""นราธิวาส!J408"")"),0)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IFERROR(__xludf.DUMMYFUNCTION("IMPORTRANGE(""https://docs.google.com/spreadsheets/d/1IYY_tgx_IHuhSq3AJ5eI5OnqOPBNLWSHKh2a30DoXe8/edit?usp=sharing"",""นราธิวาส!I409"")"),0)</f>
        <v>0</v>
      </c>
      <c r="J514" s="204">
        <f ca="1">IFERROR(__xludf.DUMMYFUNCTION("IMPORTRANGE(""https://docs.google.com/spreadsheets/d/1IYY_tgx_IHuhSq3AJ5eI5OnqOPBNLWSHKh2a30DoXe8/edit?usp=sharing"",""นราธิวาส!J409"")"),0)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IFERROR(__xludf.DUMMYFUNCTION("IMPORTRANGE(""https://docs.google.com/spreadsheets/d/1IYY_tgx_IHuhSq3AJ5eI5OnqOPBNLWSHKh2a30DoXe8/edit?usp=sharing"",""นราธิวาส!I410"")"),0)</f>
        <v>0</v>
      </c>
      <c r="J515" s="204">
        <f ca="1">IFERROR(__xludf.DUMMYFUNCTION("IMPORTRANGE(""https://docs.google.com/spreadsheets/d/1IYY_tgx_IHuhSq3AJ5eI5OnqOPBNLWSHKh2a30DoXe8/edit?usp=sharing"",""นราธิวาส!J410"")"),0)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IFERROR(__xludf.DUMMYFUNCTION("IMPORTRANGE(""https://docs.google.com/spreadsheets/d/1IYY_tgx_IHuhSq3AJ5eI5OnqOPBNLWSHKh2a30DoXe8/edit?usp=sharing"",""นราธิวาส!I411"")"),0)</f>
        <v>0</v>
      </c>
      <c r="J516" s="273">
        <f ca="1">IFERROR(__xludf.DUMMYFUNCTION("IMPORTRANGE(""https://docs.google.com/spreadsheets/d/1IYY_tgx_IHuhSq3AJ5eI5OnqOPBNLWSHKh2a30DoXe8/edit?usp=sharing"",""นราธิวาส!J411"")"),0)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IFERROR(__xludf.DUMMYFUNCTION("IMPORTRANGE(""https://docs.google.com/spreadsheets/d/1IYY_tgx_IHuhSq3AJ5eI5OnqOPBNLWSHKh2a30DoXe8/edit?usp=sharing"",""นราธิวาส!I412"")"),0)</f>
        <v>0</v>
      </c>
      <c r="J517" s="290">
        <f ca="1">IFERROR(__xludf.DUMMYFUNCTION("IMPORTRANGE(""https://docs.google.com/spreadsheets/d/1IYY_tgx_IHuhSq3AJ5eI5OnqOPBNLWSHKh2a30DoXe8/edit?usp=sharing"",""นราธิวาส!J412"")"),0)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IFERROR(__xludf.DUMMYFUNCTION("IMPORTRANGE(""https://docs.google.com/spreadsheets/d/1IYY_tgx_IHuhSq3AJ5eI5OnqOPBNLWSHKh2a30DoXe8/edit?usp=sharing"",""นราธิวาส!I413"")"),0)</f>
        <v>0</v>
      </c>
      <c r="J518" s="290">
        <f ca="1">IFERROR(__xludf.DUMMYFUNCTION("IMPORTRANGE(""https://docs.google.com/spreadsheets/d/1IYY_tgx_IHuhSq3AJ5eI5OnqOPBNLWSHKh2a30DoXe8/edit?usp=sharing"",""นราธิวาส!J413"")"),0)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IFERROR(__xludf.DUMMYFUNCTION("IMPORTRANGE(""https://docs.google.com/spreadsheets/d/1IYY_tgx_IHuhSq3AJ5eI5OnqOPBNLWSHKh2a30DoXe8/edit?usp=sharing"",""นราธิวาส!I414"")"),0)</f>
        <v>0</v>
      </c>
      <c r="J519" s="194">
        <f ca="1">IFERROR(__xludf.DUMMYFUNCTION("IMPORTRANGE(""https://docs.google.com/spreadsheets/d/1IYY_tgx_IHuhSq3AJ5eI5OnqOPBNLWSHKh2a30DoXe8/edit?usp=sharing"",""นราธิวาส!J414"")"),0)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IFERROR(__xludf.DUMMYFUNCTION("IMPORTRANGE(""https://docs.google.com/spreadsheets/d/1IYY_tgx_IHuhSq3AJ5eI5OnqOPBNLWSHKh2a30DoXe8/edit?usp=sharing"",""นราธิวาส!I415"")"),0)</f>
        <v>0</v>
      </c>
      <c r="J520" s="194">
        <f ca="1">IFERROR(__xludf.DUMMYFUNCTION("IMPORTRANGE(""https://docs.google.com/spreadsheets/d/1IYY_tgx_IHuhSq3AJ5eI5OnqOPBNLWSHKh2a30DoXe8/edit?usp=sharing"",""นราธิวาส!J415"")"),0)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IFERROR(__xludf.DUMMYFUNCTION("IMPORTRANGE(""https://docs.google.com/spreadsheets/d/1IYY_tgx_IHuhSq3AJ5eI5OnqOPBNLWSHKh2a30DoXe8/edit?usp=sharing"",""นราธิวาส!I416"")"),0)</f>
        <v>0</v>
      </c>
      <c r="J521" s="194">
        <f ca="1">IFERROR(__xludf.DUMMYFUNCTION("IMPORTRANGE(""https://docs.google.com/spreadsheets/d/1IYY_tgx_IHuhSq3AJ5eI5OnqOPBNLWSHKh2a30DoXe8/edit?usp=sharing"",""นราธิวาส!J416"")"),0)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IFERROR(__xludf.DUMMYFUNCTION("IMPORTRANGE(""https://docs.google.com/spreadsheets/d/1IYY_tgx_IHuhSq3AJ5eI5OnqOPBNLWSHKh2a30DoXe8/edit?usp=sharing"",""นราธิวาส!I417"")"),0)</f>
        <v>0</v>
      </c>
      <c r="J522" s="194">
        <f ca="1">IFERROR(__xludf.DUMMYFUNCTION("IMPORTRANGE(""https://docs.google.com/spreadsheets/d/1IYY_tgx_IHuhSq3AJ5eI5OnqOPBNLWSHKh2a30DoXe8/edit?usp=sharing"",""นราธิวาส!J417"")"),0)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IFERROR(__xludf.DUMMYFUNCTION("IMPORTRANGE(""https://docs.google.com/spreadsheets/d/1IYY_tgx_IHuhSq3AJ5eI5OnqOPBNLWSHKh2a30DoXe8/edit?usp=sharing"",""นราธิวาส!I418"")"),0)</f>
        <v>0</v>
      </c>
      <c r="J523" s="194">
        <f ca="1">IFERROR(__xludf.DUMMYFUNCTION("IMPORTRANGE(""https://docs.google.com/spreadsheets/d/1IYY_tgx_IHuhSq3AJ5eI5OnqOPBNLWSHKh2a30DoXe8/edit?usp=sharing"",""นราธิวาส!J418"")"),0)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IFERROR(__xludf.DUMMYFUNCTION("IMPORTRANGE(""https://docs.google.com/spreadsheets/d/1IYY_tgx_IHuhSq3AJ5eI5OnqOPBNLWSHKh2a30DoXe8/edit?usp=sharing"",""นราธิวาส!I419"")"),0)</f>
        <v>0</v>
      </c>
      <c r="J524" s="194">
        <f ca="1">IFERROR(__xludf.DUMMYFUNCTION("IMPORTRANGE(""https://docs.google.com/spreadsheets/d/1IYY_tgx_IHuhSq3AJ5eI5OnqOPBNLWSHKh2a30DoXe8/edit?usp=sharing"",""นราธิวาส!J419"")"),0)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IFERROR(__xludf.DUMMYFUNCTION("IMPORTRANGE(""https://docs.google.com/spreadsheets/d/1IYY_tgx_IHuhSq3AJ5eI5OnqOPBNLWSHKh2a30DoXe8/edit?usp=sharing"",""นราธิวาส!I420"")"),0)</f>
        <v>0</v>
      </c>
      <c r="J525" s="290">
        <f ca="1">IFERROR(__xludf.DUMMYFUNCTION("IMPORTRANGE(""https://docs.google.com/spreadsheets/d/1IYY_tgx_IHuhSq3AJ5eI5OnqOPBNLWSHKh2a30DoXe8/edit?usp=sharing"",""นราธิวาส!J420"")"),0)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IFERROR(__xludf.DUMMYFUNCTION("IMPORTRANGE(""https://docs.google.com/spreadsheets/d/1IYY_tgx_IHuhSq3AJ5eI5OnqOPBNLWSHKh2a30DoXe8/edit?usp=sharing"",""นราธิวาส!I421"")"),0)</f>
        <v>0</v>
      </c>
      <c r="J526" s="290">
        <f ca="1">IFERROR(__xludf.DUMMYFUNCTION("IMPORTRANGE(""https://docs.google.com/spreadsheets/d/1IYY_tgx_IHuhSq3AJ5eI5OnqOPBNLWSHKh2a30DoXe8/edit?usp=sharing"",""นราธิวาส!J421"")"),0)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IFERROR(__xludf.DUMMYFUNCTION("IMPORTRANGE(""https://docs.google.com/spreadsheets/d/1IYY_tgx_IHuhSq3AJ5eI5OnqOPBNLWSHKh2a30DoXe8/edit?usp=sharing"",""นราธิวาส!I422"")"),0)</f>
        <v>0</v>
      </c>
      <c r="J527" s="204">
        <f ca="1">IFERROR(__xludf.DUMMYFUNCTION("IMPORTRANGE(""https://docs.google.com/spreadsheets/d/1IYY_tgx_IHuhSq3AJ5eI5OnqOPBNLWSHKh2a30DoXe8/edit?usp=sharing"",""นราธิวาส!J422"")"),0)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IFERROR(__xludf.DUMMYFUNCTION("IMPORTRANGE(""https://docs.google.com/spreadsheets/d/1IYY_tgx_IHuhSq3AJ5eI5OnqOPBNLWSHKh2a30DoXe8/edit?usp=sharing"",""นราธิวาส!I423"")"),0)</f>
        <v>0</v>
      </c>
      <c r="J528" s="204">
        <f ca="1">IFERROR(__xludf.DUMMYFUNCTION("IMPORTRANGE(""https://docs.google.com/spreadsheets/d/1IYY_tgx_IHuhSq3AJ5eI5OnqOPBNLWSHKh2a30DoXe8/edit?usp=sharing"",""นราธิวาส!J423"")"),0)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IFERROR(__xludf.DUMMYFUNCTION("IMPORTRANGE(""https://docs.google.com/spreadsheets/d/1IYY_tgx_IHuhSq3AJ5eI5OnqOPBNLWSHKh2a30DoXe8/edit?usp=sharing"",""นราธิวาส!I424"")"),0)</f>
        <v>0</v>
      </c>
      <c r="J529" s="204">
        <f ca="1">IFERROR(__xludf.DUMMYFUNCTION("IMPORTRANGE(""https://docs.google.com/spreadsheets/d/1IYY_tgx_IHuhSq3AJ5eI5OnqOPBNLWSHKh2a30DoXe8/edit?usp=sharing"",""นราธิวาส!J424"")"),0)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IFERROR(__xludf.DUMMYFUNCTION("IMPORTRANGE(""https://docs.google.com/spreadsheets/d/1IYY_tgx_IHuhSq3AJ5eI5OnqOPBNLWSHKh2a30DoXe8/edit?usp=sharing"",""นราธิวาส!I425"")"),0)</f>
        <v>0</v>
      </c>
      <c r="J530" s="204">
        <f ca="1">IFERROR(__xludf.DUMMYFUNCTION("IMPORTRANGE(""https://docs.google.com/spreadsheets/d/1IYY_tgx_IHuhSq3AJ5eI5OnqOPBNLWSHKh2a30DoXe8/edit?usp=sharing"",""นราธิวาส!J425"")"),0)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IFERROR(__xludf.DUMMYFUNCTION("IMPORTRANGE(""https://docs.google.com/spreadsheets/d/1IYY_tgx_IHuhSq3AJ5eI5OnqOPBNLWSHKh2a30DoXe8/edit?usp=sharing"",""นราธิวาส!I426"")"),0)</f>
        <v>0</v>
      </c>
      <c r="J531" s="204">
        <f ca="1">IFERROR(__xludf.DUMMYFUNCTION("IMPORTRANGE(""https://docs.google.com/spreadsheets/d/1IYY_tgx_IHuhSq3AJ5eI5OnqOPBNLWSHKh2a30DoXe8/edit?usp=sharing"",""นราธิวาส!J426"")"),0)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IFERROR(__xludf.DUMMYFUNCTION("IMPORTRANGE(""https://docs.google.com/spreadsheets/d/1IYY_tgx_IHuhSq3AJ5eI5OnqOPBNLWSHKh2a30DoXe8/edit?usp=sharing"",""นราธิวาส!I427"")"),0)</f>
        <v>0</v>
      </c>
      <c r="J532" s="472">
        <f ca="1">IFERROR(__xludf.DUMMYFUNCTION("IMPORTRANGE(""https://docs.google.com/spreadsheets/d/1IYY_tgx_IHuhSq3AJ5eI5OnqOPBNLWSHKh2a30DoXe8/edit?usp=sharing"",""นราธิวาส!J427"")"),0)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IFERROR(__xludf.DUMMYFUNCTION("IMPORTRANGE(""https://docs.google.com/spreadsheets/d/1IYY_tgx_IHuhSq3AJ5eI5OnqOPBNLWSHKh2a30DoXe8/edit?usp=sharing"",""นราธิวาส!I428"")"),20)</f>
        <v>20</v>
      </c>
      <c r="J533" s="416">
        <f ca="1">IFERROR(__xludf.DUMMYFUNCTION("IMPORTRANGE(""https://docs.google.com/spreadsheets/d/1IYY_tgx_IHuhSq3AJ5eI5OnqOPBNLWSHKh2a30DoXe8/edit?usp=sharing"",""นราธิวาส!J428"")"),20)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IFERROR(__xludf.DUMMYFUNCTION("IMPORTRANGE(""https://docs.google.com/spreadsheets/d/1IYY_tgx_IHuhSq3AJ5eI5OnqOPBNLWSHKh2a30DoXe8/edit?usp=sharing"",""นราธิวาส!L428"")"),32640)</f>
        <v>32640</v>
      </c>
      <c r="M533" s="418"/>
      <c r="N533" s="418">
        <f ca="1">IFERROR(__xludf.DUMMYFUNCTION("IMPORTRANGE(""https://docs.google.com/spreadsheets/d/1IYY_tgx_IHuhSq3AJ5eI5OnqOPBNLWSHKh2a30DoXe8/edit?usp=sharing"",""นราธิวาส!M428"")"),32640)</f>
        <v>32640</v>
      </c>
      <c r="O533" s="418">
        <f t="shared" ref="O533:O537" ca="1" si="118">+IF(L533&gt;0,N533*100/L533,0)</f>
        <v>100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IFERROR(__xludf.DUMMYFUNCTION("IMPORTRANGE(""https://docs.google.com/spreadsheets/d/1IYY_tgx_IHuhSq3AJ5eI5OnqOPBNLWSHKh2a30DoXe8/edit?usp=sharing"",""นราธิวาส!L429"")"),0)</f>
        <v>0</v>
      </c>
      <c r="M534" s="168"/>
      <c r="N534" s="175">
        <f ca="1">IFERROR(__xludf.DUMMYFUNCTION("IMPORTRANGE(""https://docs.google.com/spreadsheets/d/1IYY_tgx_IHuhSq3AJ5eI5OnqOPBNLWSHKh2a30DoXe8/edit?usp=sharing"",""นราธิวาส!M429"")"),0)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IFERROR(__xludf.DUMMYFUNCTION("IMPORTRANGE(""https://docs.google.com/spreadsheets/d/1IYY_tgx_IHuhSq3AJ5eI5OnqOPBNLWSHKh2a30DoXe8/edit?usp=sharing"",""นราธิวาส!L430"")"),32640)</f>
        <v>32640</v>
      </c>
      <c r="M535" s="169"/>
      <c r="N535" s="175">
        <f ca="1">IFERROR(__xludf.DUMMYFUNCTION("IMPORTRANGE(""https://docs.google.com/spreadsheets/d/1IYY_tgx_IHuhSq3AJ5eI5OnqOPBNLWSHKh2a30DoXe8/edit?usp=sharing"",""นราธิวาส!M430"")"),32640)</f>
        <v>32640</v>
      </c>
      <c r="O535" s="175">
        <f t="shared" ca="1" si="118"/>
        <v>100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IFERROR(__xludf.DUMMYFUNCTION("IMPORTRANGE(""https://docs.google.com/spreadsheets/d/1IYY_tgx_IHuhSq3AJ5eI5OnqOPBNLWSHKh2a30DoXe8/edit?usp=sharing"",""นราธิวาส!L431"")"),0)</f>
        <v>0</v>
      </c>
      <c r="M536" s="175"/>
      <c r="N536" s="175">
        <f ca="1">IFERROR(__xludf.DUMMYFUNCTION("IMPORTRANGE(""https://docs.google.com/spreadsheets/d/1IYY_tgx_IHuhSq3AJ5eI5OnqOPBNLWSHKh2a30DoXe8/edit?usp=sharing"",""นราธิวาส!M431"")"),0)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IFERROR(__xludf.DUMMYFUNCTION("IMPORTRANGE(""https://docs.google.com/spreadsheets/d/1IYY_tgx_IHuhSq3AJ5eI5OnqOPBNLWSHKh2a30DoXe8/edit?usp=sharing"",""นราธิวาส!L432"")"),32640)</f>
        <v>32640</v>
      </c>
      <c r="M537" s="175"/>
      <c r="N537" s="175">
        <f ca="1">IFERROR(__xludf.DUMMYFUNCTION("IMPORTRANGE(""https://docs.google.com/spreadsheets/d/1IYY_tgx_IHuhSq3AJ5eI5OnqOPBNLWSHKh2a30DoXe8/edit?usp=sharing"",""นราธิวาส!M432"")"),32640)</f>
        <v>32640</v>
      </c>
      <c r="O537" s="175">
        <f t="shared" ca="1" si="118"/>
        <v>100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IFERROR(__xludf.DUMMYFUNCTION("IMPORTRANGE(""https://docs.google.com/spreadsheets/d/1IYY_tgx_IHuhSq3AJ5eI5OnqOPBNLWSHKh2a30DoXe8/edit?usp=sharing"",""นราธิวาส!M433"")"),17040)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IFERROR(__xludf.DUMMYFUNCTION("IMPORTRANGE(""https://docs.google.com/spreadsheets/d/1IYY_tgx_IHuhSq3AJ5eI5OnqOPBNLWSHKh2a30DoXe8/edit?usp=sharing"",""นราธิวาส!M434"")"),0)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IFERROR(__xludf.DUMMYFUNCTION("IMPORTRANGE(""https://docs.google.com/spreadsheets/d/1IYY_tgx_IHuhSq3AJ5eI5OnqOPBNLWSHKh2a30DoXe8/edit?usp=sharing"",""นราธิวาส!M435"")"),0)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IFERROR(__xludf.DUMMYFUNCTION("IMPORTRANGE(""https://docs.google.com/spreadsheets/d/1IYY_tgx_IHuhSq3AJ5eI5OnqOPBNLWSHKh2a30DoXe8/edit?usp=sharing"",""นราธิวาส!M436"")"),15600)</f>
        <v>15600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IFERROR(__xludf.DUMMYFUNCTION("IMPORTRANGE(""https://docs.google.com/spreadsheets/d/1IYY_tgx_IHuhSq3AJ5eI5OnqOPBNLWSHKh2a30DoXe8/edit?usp=sharing"",""นราธิวาส!J438"")"),0)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IFERROR(__xludf.DUMMYFUNCTION("IMPORTRANGE(""https://docs.google.com/spreadsheets/d/1IYY_tgx_IHuhSq3AJ5eI5OnqOPBNLWSHKh2a30DoXe8/edit?usp=sharing"",""นราธิวาส!J439"")"),1)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IFERROR(__xludf.DUMMYFUNCTION("IMPORTRANGE(""https://docs.google.com/spreadsheets/d/1IYY_tgx_IHuhSq3AJ5eI5OnqOPBNLWSHKh2a30DoXe8/edit?usp=sharing"",""นราธิวาส!J440"")"),1)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IFERROR(__xludf.DUMMYFUNCTION("IMPORTRANGE(""https://docs.google.com/spreadsheets/d/1IYY_tgx_IHuhSq3AJ5eI5OnqOPBNLWSHKh2a30DoXe8/edit?usp=sharing"",""นราธิวาส!J441"")"),1)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IFERROR(__xludf.DUMMYFUNCTION("IMPORTRANGE(""https://docs.google.com/spreadsheets/d/1IYY_tgx_IHuhSq3AJ5eI5OnqOPBNLWSHKh2a30DoXe8/edit?usp=sharing"",""นราธิวาส!I442"")"),20)</f>
        <v>20</v>
      </c>
      <c r="J547" s="195">
        <f ca="1">IFERROR(__xludf.DUMMYFUNCTION("IMPORTRANGE(""https://docs.google.com/spreadsheets/d/1IYY_tgx_IHuhSq3AJ5eI5OnqOPBNLWSHKh2a30DoXe8/edit?usp=sharing"",""นราธิวาส!J442"")"),20)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IFERROR(__xludf.DUMMYFUNCTION("IMPORTRANGE(""https://docs.google.com/spreadsheets/d/1IYY_tgx_IHuhSq3AJ5eI5OnqOPBNLWSHKh2a30DoXe8/edit?usp=sharing"",""นราธิวาส!J166"")"),0)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IFERROR(__xludf.DUMMYFUNCTION("IMPORTRANGE(""https://docs.google.com/spreadsheets/d/1IYY_tgx_IHuhSq3AJ5eI5OnqOPBNLWSHKh2a30DoXe8/edit?usp=sharing"",""นราธิวาส!J444"")"),0)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IFERROR(__xludf.DUMMYFUNCTION("IMPORTRANGE(""https://docs.google.com/spreadsheets/d/1IYY_tgx_IHuhSq3AJ5eI5OnqOPBNLWSHKh2a30DoXe8/edit?usp=sharing"",""นราธิวาส!J445"")"),0)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IFERROR(__xludf.DUMMYFUNCTION("IMPORTRANGE(""https://docs.google.com/spreadsheets/d/1IYY_tgx_IHuhSq3AJ5eI5OnqOPBNLWSHKh2a30DoXe8/edit?usp=sharing"",""นราธิวาส!I446"")"),0)</f>
        <v>0</v>
      </c>
      <c r="J551" s="416">
        <f ca="1">IFERROR(__xludf.DUMMYFUNCTION("IMPORTRANGE(""https://docs.google.com/spreadsheets/d/1IYY_tgx_IHuhSq3AJ5eI5OnqOPBNLWSHKh2a30DoXe8/edit?usp=sharing"",""นราธิวาส!J446"")"),0)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IFERROR(__xludf.DUMMYFUNCTION("IMPORTRANGE(""https://docs.google.com/spreadsheets/d/1IYY_tgx_IHuhSq3AJ5eI5OnqOPBNLWSHKh2a30DoXe8/edit?usp=sharing"",""นราธิวาส!L446"")"),0)</f>
        <v>0</v>
      </c>
      <c r="M551" s="418"/>
      <c r="N551" s="418">
        <f ca="1">IFERROR(__xludf.DUMMYFUNCTION("IMPORTRANGE(""https://docs.google.com/spreadsheets/d/1IYY_tgx_IHuhSq3AJ5eI5OnqOPBNLWSHKh2a30DoXe8/edit?usp=sharing"",""นราธิวาส!M446"")"),0)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IFERROR(__xludf.DUMMYFUNCTION("IMPORTRANGE(""https://docs.google.com/spreadsheets/d/1IYY_tgx_IHuhSq3AJ5eI5OnqOPBNLWSHKh2a30DoXe8/edit?usp=sharing"",""นราธิวาส!L447"")"),0)</f>
        <v>0</v>
      </c>
      <c r="M552" s="168"/>
      <c r="N552" s="175">
        <f ca="1">IFERROR(__xludf.DUMMYFUNCTION("IMPORTRANGE(""https://docs.google.com/spreadsheets/d/1IYY_tgx_IHuhSq3AJ5eI5OnqOPBNLWSHKh2a30DoXe8/edit?usp=sharing"",""นราธิวาส!M447"")"),0)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IFERROR(__xludf.DUMMYFUNCTION("IMPORTRANGE(""https://docs.google.com/spreadsheets/d/1IYY_tgx_IHuhSq3AJ5eI5OnqOPBNLWSHKh2a30DoXe8/edit?usp=sharing"",""นราธิวาส!L448"")"),0)</f>
        <v>0</v>
      </c>
      <c r="M553" s="169"/>
      <c r="N553" s="175">
        <f ca="1">IFERROR(__xludf.DUMMYFUNCTION("IMPORTRANGE(""https://docs.google.com/spreadsheets/d/1IYY_tgx_IHuhSq3AJ5eI5OnqOPBNLWSHKh2a30DoXe8/edit?usp=sharing"",""นราธิวาส!M448"")"),0)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IFERROR(__xludf.DUMMYFUNCTION("IMPORTRANGE(""https://docs.google.com/spreadsheets/d/1IYY_tgx_IHuhSq3AJ5eI5OnqOPBNLWSHKh2a30DoXe8/edit?usp=sharing"",""นราธิวาส!L449"")"),0)</f>
        <v>0</v>
      </c>
      <c r="M554" s="175"/>
      <c r="N554" s="175">
        <f ca="1">IFERROR(__xludf.DUMMYFUNCTION("IMPORTRANGE(""https://docs.google.com/spreadsheets/d/1IYY_tgx_IHuhSq3AJ5eI5OnqOPBNLWSHKh2a30DoXe8/edit?usp=sharing"",""นราธิวาส!M449"")"),0)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IFERROR(__xludf.DUMMYFUNCTION("IMPORTRANGE(""https://docs.google.com/spreadsheets/d/1IYY_tgx_IHuhSq3AJ5eI5OnqOPBNLWSHKh2a30DoXe8/edit?usp=sharing"",""นราธิวาส!L450"")"),0)</f>
        <v>0</v>
      </c>
      <c r="M555" s="175"/>
      <c r="N555" s="175">
        <f ca="1">IFERROR(__xludf.DUMMYFUNCTION("IMPORTRANGE(""https://docs.google.com/spreadsheets/d/1IYY_tgx_IHuhSq3AJ5eI5OnqOPBNLWSHKh2a30DoXe8/edit?usp=sharing"",""นราธิวาส!M450"")"),0)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IFERROR(__xludf.DUMMYFUNCTION("IMPORTRANGE(""https://docs.google.com/spreadsheets/d/1IYY_tgx_IHuhSq3AJ5eI5OnqOPBNLWSHKh2a30DoXe8/edit?usp=sharing"",""นราธิวาส!M451"")"),0)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IFERROR(__xludf.DUMMYFUNCTION("IMPORTRANGE(""https://docs.google.com/spreadsheets/d/1IYY_tgx_IHuhSq3AJ5eI5OnqOPBNLWSHKh2a30DoXe8/edit?usp=sharing"",""นราธิวาส!M452"")"),0)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IFERROR(__xludf.DUMMYFUNCTION("IMPORTRANGE(""https://docs.google.com/spreadsheets/d/1IYY_tgx_IHuhSq3AJ5eI5OnqOPBNLWSHKh2a30DoXe8/edit?usp=sharing"",""นราธิวาส!M453"")"),0)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IFERROR(__xludf.DUMMYFUNCTION("IMPORTRANGE(""https://docs.google.com/spreadsheets/d/1IYY_tgx_IHuhSq3AJ5eI5OnqOPBNLWSHKh2a30DoXe8/edit?usp=sharing"",""นราธิวาส!M454"")"),0)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IFERROR(__xludf.DUMMYFUNCTION("IMPORTRANGE(""https://docs.google.com/spreadsheets/d/1IYY_tgx_IHuhSq3AJ5eI5OnqOPBNLWSHKh2a30DoXe8/edit?usp=sharing"",""นราธิวาส!I455"")"),0)</f>
        <v>0</v>
      </c>
      <c r="J560" s="166">
        <f ca="1">IFERROR(__xludf.DUMMYFUNCTION("IMPORTRANGE(""https://docs.google.com/spreadsheets/d/1IYY_tgx_IHuhSq3AJ5eI5OnqOPBNLWSHKh2a30DoXe8/edit?usp=sharing"",""นราธิวาส!J455"")"),0)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IFERROR(__xludf.DUMMYFUNCTION("IMPORTRANGE(""https://docs.google.com/spreadsheets/d/1IYY_tgx_IHuhSq3AJ5eI5OnqOPBNLWSHKh2a30DoXe8/edit?usp=sharing"",""นราธิวาส!I456"")"),0)</f>
        <v>0</v>
      </c>
      <c r="J561" s="210">
        <f ca="1">IFERROR(__xludf.DUMMYFUNCTION("IMPORTRANGE(""https://docs.google.com/spreadsheets/d/1IYY_tgx_IHuhSq3AJ5eI5OnqOPBNLWSHKh2a30DoXe8/edit?usp=sharing"",""นราธิวาส!J456"")"),0)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IFERROR(__xludf.DUMMYFUNCTION("IMPORTRANGE(""https://docs.google.com/spreadsheets/d/1IYY_tgx_IHuhSq3AJ5eI5OnqOPBNLWSHKh2a30DoXe8/edit?usp=sharing"",""นราธิวาส!I459"")"),150)</f>
        <v>150</v>
      </c>
      <c r="J564" s="377">
        <f ca="1">IFERROR(__xludf.DUMMYFUNCTION("IMPORTRANGE(""https://docs.google.com/spreadsheets/d/1IYY_tgx_IHuhSq3AJ5eI5OnqOPBNLWSHKh2a30DoXe8/edit?usp=sharing"",""นราธิวาส!J459"")"),255)</f>
        <v>255</v>
      </c>
      <c r="K564" s="378">
        <f ca="1">IF(I564&gt;0,J564*100/I564,0)</f>
        <v>170</v>
      </c>
      <c r="L564" s="379">
        <f ca="1">IFERROR(__xludf.DUMMYFUNCTION("IMPORTRANGE(""https://docs.google.com/spreadsheets/d/1IYY_tgx_IHuhSq3AJ5eI5OnqOPBNLWSHKh2a30DoXe8/edit?usp=sharing"",""นราธิวาส!L459"")"),120720)</f>
        <v>120720</v>
      </c>
      <c r="M564" s="379"/>
      <c r="N564" s="379">
        <f ca="1">IFERROR(__xludf.DUMMYFUNCTION("IMPORTRANGE(""https://docs.google.com/spreadsheets/d/1IYY_tgx_IHuhSq3AJ5eI5OnqOPBNLWSHKh2a30DoXe8/edit?usp=sharing"",""นราธิวาส!M459"")"),34012)</f>
        <v>34012</v>
      </c>
      <c r="O564" s="379">
        <f t="shared" ref="O564:O568" ca="1" si="122">+IF(L564&gt;0,N564*100/L564,0)</f>
        <v>28.174287607687209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IFERROR(__xludf.DUMMYFUNCTION("IMPORTRANGE(""https://docs.google.com/spreadsheets/d/1IYY_tgx_IHuhSq3AJ5eI5OnqOPBNLWSHKh2a30DoXe8/edit?usp=sharing"",""นราธิวาส!L460"")"),0)</f>
        <v>0</v>
      </c>
      <c r="M565" s="168"/>
      <c r="N565" s="175">
        <f ca="1">IFERROR(__xludf.DUMMYFUNCTION("IMPORTRANGE(""https://docs.google.com/spreadsheets/d/1IYY_tgx_IHuhSq3AJ5eI5OnqOPBNLWSHKh2a30DoXe8/edit?usp=sharing"",""นราธิวาส!M460"")"),0)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IFERROR(__xludf.DUMMYFUNCTION("IMPORTRANGE(""https://docs.google.com/spreadsheets/d/1IYY_tgx_IHuhSq3AJ5eI5OnqOPBNLWSHKh2a30DoXe8/edit?usp=sharing"",""นราธิวาส!L461"")"),120720)</f>
        <v>120720</v>
      </c>
      <c r="M566" s="169"/>
      <c r="N566" s="175">
        <f ca="1">IFERROR(__xludf.DUMMYFUNCTION("IMPORTRANGE(""https://docs.google.com/spreadsheets/d/1IYY_tgx_IHuhSq3AJ5eI5OnqOPBNLWSHKh2a30DoXe8/edit?usp=sharing"",""นราธิวาส!M461"")"),34012)</f>
        <v>34012</v>
      </c>
      <c r="O566" s="175">
        <f t="shared" ca="1" si="122"/>
        <v>28.174287607687209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IFERROR(__xludf.DUMMYFUNCTION("IMPORTRANGE(""https://docs.google.com/spreadsheets/d/1IYY_tgx_IHuhSq3AJ5eI5OnqOPBNLWSHKh2a30DoXe8/edit?usp=sharing"",""นราธิวาส!L462"")"),0)</f>
        <v>0</v>
      </c>
      <c r="M567" s="175"/>
      <c r="N567" s="175">
        <f ca="1">IFERROR(__xludf.DUMMYFUNCTION("IMPORTRANGE(""https://docs.google.com/spreadsheets/d/1IYY_tgx_IHuhSq3AJ5eI5OnqOPBNLWSHKh2a30DoXe8/edit?usp=sharing"",""นราธิวาส!M462"")"),0)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IFERROR(__xludf.DUMMYFUNCTION("IMPORTRANGE(""https://docs.google.com/spreadsheets/d/1IYY_tgx_IHuhSq3AJ5eI5OnqOPBNLWSHKh2a30DoXe8/edit?usp=sharing"",""นราธิวาส!L463"")"),120720)</f>
        <v>120720</v>
      </c>
      <c r="M568" s="175"/>
      <c r="N568" s="175">
        <f ca="1">IFERROR(__xludf.DUMMYFUNCTION("IMPORTRANGE(""https://docs.google.com/spreadsheets/d/1IYY_tgx_IHuhSq3AJ5eI5OnqOPBNLWSHKh2a30DoXe8/edit?usp=sharing"",""นราธิวาส!M463"")"),34012)</f>
        <v>34012</v>
      </c>
      <c r="O568" s="175">
        <f t="shared" ca="1" si="122"/>
        <v>28.174287607687209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IFERROR(__xludf.DUMMYFUNCTION("IMPORTRANGE(""https://docs.google.com/spreadsheets/d/1IYY_tgx_IHuhSq3AJ5eI5OnqOPBNLWSHKh2a30DoXe8/edit?usp=sharing"",""นราธิวาส!M464"")"),0)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IFERROR(__xludf.DUMMYFUNCTION("IMPORTRANGE(""https://docs.google.com/spreadsheets/d/1IYY_tgx_IHuhSq3AJ5eI5OnqOPBNLWSHKh2a30DoXe8/edit?usp=sharing"",""นราธิวาส!M465"")"),0)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IFERROR(__xludf.DUMMYFUNCTION("IMPORTRANGE(""https://docs.google.com/spreadsheets/d/1IYY_tgx_IHuhSq3AJ5eI5OnqOPBNLWSHKh2a30DoXe8/edit?usp=sharing"",""นราธิวาส!M466"")"),19032)</f>
        <v>19032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IFERROR(__xludf.DUMMYFUNCTION("IMPORTRANGE(""https://docs.google.com/spreadsheets/d/1IYY_tgx_IHuhSq3AJ5eI5OnqOPBNLWSHKh2a30DoXe8/edit?usp=sharing"",""นราธิวาส!M467"")"),14980)</f>
        <v>14980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IFERROR(__xludf.DUMMYFUNCTION("IMPORTRANGE(""https://docs.google.com/spreadsheets/d/1IYY_tgx_IHuhSq3AJ5eI5OnqOPBNLWSHKh2a30DoXe8/edit?usp=sharing"",""นราธิวาส!I468"")"),150)</f>
        <v>150</v>
      </c>
      <c r="J573" s="426">
        <f ca="1">IFERROR(__xludf.DUMMYFUNCTION("IMPORTRANGE(""https://docs.google.com/spreadsheets/d/1IYY_tgx_IHuhSq3AJ5eI5OnqOPBNLWSHKh2a30DoXe8/edit?usp=sharing"",""นราธิวาส!J468"")"),255)</f>
        <v>255</v>
      </c>
      <c r="K573" s="208">
        <f ca="1">IF(I573&gt;0,J573*100/I573,0)</f>
        <v>170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IFERROR(__xludf.DUMMYFUNCTION("IMPORTRANGE(""https://docs.google.com/spreadsheets/d/1IYY_tgx_IHuhSq3AJ5eI5OnqOPBNLWSHKh2a30DoXe8/edit?usp=sharing"",""นราธิวาส!I470"")"),0)</f>
        <v>0</v>
      </c>
      <c r="J575" s="204">
        <f ca="1">IFERROR(__xludf.DUMMYFUNCTION("IMPORTRANGE(""https://docs.google.com/spreadsheets/d/1IYY_tgx_IHuhSq3AJ5eI5OnqOPBNLWSHKh2a30DoXe8/edit?usp=sharing"",""นราธิวาส!J470"")"),2)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IFERROR(__xludf.DUMMYFUNCTION("IMPORTRANGE(""https://docs.google.com/spreadsheets/d/1IYY_tgx_IHuhSq3AJ5eI5OnqOPBNLWSHKh2a30DoXe8/edit?usp=sharing"",""นราธิวาส!I471"")"),0)</f>
        <v>0</v>
      </c>
      <c r="J576" s="204">
        <f ca="1">IFERROR(__xludf.DUMMYFUNCTION("IMPORTRANGE(""https://docs.google.com/spreadsheets/d/1IYY_tgx_IHuhSq3AJ5eI5OnqOPBNLWSHKh2a30DoXe8/edit?usp=sharing"",""นราธิวาส!J471"")"),76)</f>
        <v>76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IFERROR(__xludf.DUMMYFUNCTION("IMPORTRANGE(""https://docs.google.com/spreadsheets/d/1IYY_tgx_IHuhSq3AJ5eI5OnqOPBNLWSHKh2a30DoXe8/edit?usp=sharing"",""นราธิวาส!I472"")"),0)</f>
        <v>0</v>
      </c>
      <c r="J577" s="195">
        <f ca="1">IFERROR(__xludf.DUMMYFUNCTION("IMPORTRANGE(""https://docs.google.com/spreadsheets/d/1IYY_tgx_IHuhSq3AJ5eI5OnqOPBNLWSHKh2a30DoXe8/edit?usp=sharing"",""นราธิวาส!J472"")"),179)</f>
        <v>179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IFERROR(__xludf.DUMMYFUNCTION("IMPORTRANGE(""https://docs.google.com/spreadsheets/d/1IYY_tgx_IHuhSq3AJ5eI5OnqOPBNLWSHKh2a30DoXe8/edit?usp=sharing"",""นราธิวาส!I473"")"),0)</f>
        <v>0</v>
      </c>
      <c r="J578" s="204">
        <f ca="1">IFERROR(__xludf.DUMMYFUNCTION("IMPORTRANGE(""https://docs.google.com/spreadsheets/d/1IYY_tgx_IHuhSq3AJ5eI5OnqOPBNLWSHKh2a30DoXe8/edit?usp=sharing"",""นราธิวาส!J473"")"),0)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IFERROR(__xludf.DUMMYFUNCTION("IMPORTRANGE(""https://docs.google.com/spreadsheets/d/1IYY_tgx_IHuhSq3AJ5eI5OnqOPBNLWSHKh2a30DoXe8/edit?usp=sharing"",""นราธิวาส!I474"")"),0)</f>
        <v>0</v>
      </c>
      <c r="J579" s="204">
        <f ca="1">IFERROR(__xludf.DUMMYFUNCTION("IMPORTRANGE(""https://docs.google.com/spreadsheets/d/1IYY_tgx_IHuhSq3AJ5eI5OnqOPBNLWSHKh2a30DoXe8/edit?usp=sharing"",""นราธิวาส!J474"")"),0)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IFERROR(__xludf.DUMMYFUNCTION("IMPORTRANGE(""https://docs.google.com/spreadsheets/d/1IYY_tgx_IHuhSq3AJ5eI5OnqOPBNLWSHKh2a30DoXe8/edit?usp=sharing"",""นราธิวาส!I475"")"),0)</f>
        <v>0</v>
      </c>
      <c r="J580" s="377">
        <f ca="1">IFERROR(__xludf.DUMMYFUNCTION("IMPORTRANGE(""https://docs.google.com/spreadsheets/d/1IYY_tgx_IHuhSq3AJ5eI5OnqOPBNLWSHKh2a30DoXe8/edit?usp=sharing"",""นราธิวาส!J475"")"),0)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IFERROR(__xludf.DUMMYFUNCTION("IMPORTRANGE(""https://docs.google.com/spreadsheets/d/1IYY_tgx_IHuhSq3AJ5eI5OnqOPBNLWSHKh2a30DoXe8/edit?usp=sharing"",""นราธิวาส!L475"")"),0)</f>
        <v>0</v>
      </c>
      <c r="M580" s="379"/>
      <c r="N580" s="379">
        <f ca="1">IFERROR(__xludf.DUMMYFUNCTION("IMPORTRANGE(""https://docs.google.com/spreadsheets/d/1IYY_tgx_IHuhSq3AJ5eI5OnqOPBNLWSHKh2a30DoXe8/edit?usp=sharing"",""นราธิวาส!M475"")"),0)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IFERROR(__xludf.DUMMYFUNCTION("IMPORTRANGE(""https://docs.google.com/spreadsheets/d/1IYY_tgx_IHuhSq3AJ5eI5OnqOPBNLWSHKh2a30DoXe8/edit?usp=sharing"",""นราธิวาส!L476"")"),0)</f>
        <v>0</v>
      </c>
      <c r="M581" s="168"/>
      <c r="N581" s="175">
        <f ca="1">IFERROR(__xludf.DUMMYFUNCTION("IMPORTRANGE(""https://docs.google.com/spreadsheets/d/1IYY_tgx_IHuhSq3AJ5eI5OnqOPBNLWSHKh2a30DoXe8/edit?usp=sharing"",""นราธิวาส!M476"")"),0)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IFERROR(__xludf.DUMMYFUNCTION("IMPORTRANGE(""https://docs.google.com/spreadsheets/d/1IYY_tgx_IHuhSq3AJ5eI5OnqOPBNLWSHKh2a30DoXe8/edit?usp=sharing"",""นราธิวาส!L477"")"),0)</f>
        <v>0</v>
      </c>
      <c r="M582" s="169"/>
      <c r="N582" s="175">
        <f ca="1">IFERROR(__xludf.DUMMYFUNCTION("IMPORTRANGE(""https://docs.google.com/spreadsheets/d/1IYY_tgx_IHuhSq3AJ5eI5OnqOPBNLWSHKh2a30DoXe8/edit?usp=sharing"",""นราธิวาส!M477"")"),0)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IFERROR(__xludf.DUMMYFUNCTION("IMPORTRANGE(""https://docs.google.com/spreadsheets/d/1IYY_tgx_IHuhSq3AJ5eI5OnqOPBNLWSHKh2a30DoXe8/edit?usp=sharing"",""นราธิวาส!L478"")"),0)</f>
        <v>0</v>
      </c>
      <c r="M583" s="175"/>
      <c r="N583" s="175">
        <f ca="1">IFERROR(__xludf.DUMMYFUNCTION("IMPORTRANGE(""https://docs.google.com/spreadsheets/d/1IYY_tgx_IHuhSq3AJ5eI5OnqOPBNLWSHKh2a30DoXe8/edit?usp=sharing"",""นราธิวาส!M478"")"),0)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IFERROR(__xludf.DUMMYFUNCTION("IMPORTRANGE(""https://docs.google.com/spreadsheets/d/1IYY_tgx_IHuhSq3AJ5eI5OnqOPBNLWSHKh2a30DoXe8/edit?usp=sharing"",""นราธิวาส!L479"")"),0)</f>
        <v>0</v>
      </c>
      <c r="M584" s="175"/>
      <c r="N584" s="175">
        <f ca="1">IFERROR(__xludf.DUMMYFUNCTION("IMPORTRANGE(""https://docs.google.com/spreadsheets/d/1IYY_tgx_IHuhSq3AJ5eI5OnqOPBNLWSHKh2a30DoXe8/edit?usp=sharing"",""นราธิวาส!M479"")"),0)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IFERROR(__xludf.DUMMYFUNCTION("IMPORTRANGE(""https://docs.google.com/spreadsheets/d/1IYY_tgx_IHuhSq3AJ5eI5OnqOPBNLWSHKh2a30DoXe8/edit?usp=sharing"",""นราธิวาส!M480"")"),0)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IFERROR(__xludf.DUMMYFUNCTION("IMPORTRANGE(""https://docs.google.com/spreadsheets/d/1IYY_tgx_IHuhSq3AJ5eI5OnqOPBNLWSHKh2a30DoXe8/edit?usp=sharing"",""นราธิวาส!M481"")"),0)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IFERROR(__xludf.DUMMYFUNCTION("IMPORTRANGE(""https://docs.google.com/spreadsheets/d/1IYY_tgx_IHuhSq3AJ5eI5OnqOPBNLWSHKh2a30DoXe8/edit?usp=sharing"",""นราธิวาส!M482"")"),0)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IFERROR(__xludf.DUMMYFUNCTION("IMPORTRANGE(""https://docs.google.com/spreadsheets/d/1IYY_tgx_IHuhSq3AJ5eI5OnqOPBNLWSHKh2a30DoXe8/edit?usp=sharing"",""นราธิวาส!M483"")"),0)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IFERROR(__xludf.DUMMYFUNCTION("IMPORTRANGE(""https://docs.google.com/spreadsheets/d/1IYY_tgx_IHuhSq3AJ5eI5OnqOPBNLWSHKh2a30DoXe8/edit?usp=sharing"",""นราธิวาส!I484"")"),0)</f>
        <v>0</v>
      </c>
      <c r="J589" s="194">
        <f ca="1">IFERROR(__xludf.DUMMYFUNCTION("IMPORTRANGE(""https://docs.google.com/spreadsheets/d/1IYY_tgx_IHuhSq3AJ5eI5OnqOPBNLWSHKh2a30DoXe8/edit?usp=sharing"",""นราธิวาส!J484"")"),0)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IFERROR(__xludf.DUMMYFUNCTION("IMPORTRANGE(""https://docs.google.com/spreadsheets/d/1IYY_tgx_IHuhSq3AJ5eI5OnqOPBNLWSHKh2a30DoXe8/edit?usp=sharing"",""นราธิวาส!I485"")"),0)</f>
        <v>0</v>
      </c>
      <c r="J590" s="194">
        <f ca="1">IFERROR(__xludf.DUMMYFUNCTION("IMPORTRANGE(""https://docs.google.com/spreadsheets/d/1IYY_tgx_IHuhSq3AJ5eI5OnqOPBNLWSHKh2a30DoXe8/edit?usp=sharing"",""นราธิวาส!J485"")"),0)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IFERROR(__xludf.DUMMYFUNCTION("IMPORTRANGE(""https://docs.google.com/spreadsheets/d/1IYY_tgx_IHuhSq3AJ5eI5OnqOPBNLWSHKh2a30DoXe8/edit?usp=sharing"",""นราธิวาส!I486"")"),0)</f>
        <v>0</v>
      </c>
      <c r="J591" s="194">
        <f ca="1">IFERROR(__xludf.DUMMYFUNCTION("IMPORTRANGE(""https://docs.google.com/spreadsheets/d/1IYY_tgx_IHuhSq3AJ5eI5OnqOPBNLWSHKh2a30DoXe8/edit?usp=sharing"",""นราธิวาส!J486"")"),0)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IFERROR(__xludf.DUMMYFUNCTION("IMPORTRANGE(""https://docs.google.com/spreadsheets/d/1IYY_tgx_IHuhSq3AJ5eI5OnqOPBNLWSHKh2a30DoXe8/edit?usp=sharing"",""นราธิวาส!I487"")"),0)</f>
        <v>0</v>
      </c>
      <c r="J592" s="194">
        <f ca="1">IFERROR(__xludf.DUMMYFUNCTION("IMPORTRANGE(""https://docs.google.com/spreadsheets/d/1IYY_tgx_IHuhSq3AJ5eI5OnqOPBNLWSHKh2a30DoXe8/edit?usp=sharing"",""นราธิวาส!J487"")"),0)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IFERROR(__xludf.DUMMYFUNCTION("IMPORTRANGE(""https://docs.google.com/spreadsheets/d/1IYY_tgx_IHuhSq3AJ5eI5OnqOPBNLWSHKh2a30DoXe8/edit?usp=sharing"",""นราธิวาส!I488"")"),0)</f>
        <v>0</v>
      </c>
      <c r="J593" s="194">
        <f ca="1">IFERROR(__xludf.DUMMYFUNCTION("IMPORTRANGE(""https://docs.google.com/spreadsheets/d/1IYY_tgx_IHuhSq3AJ5eI5OnqOPBNLWSHKh2a30DoXe8/edit?usp=sharing"",""นราธิวาส!J488"")"),0)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IFERROR(__xludf.DUMMYFUNCTION("IMPORTRANGE(""https://docs.google.com/spreadsheets/d/1IYY_tgx_IHuhSq3AJ5eI5OnqOPBNLWSHKh2a30DoXe8/edit?usp=sharing"",""นราธิวาส!I489"")"),0)</f>
        <v>0</v>
      </c>
      <c r="J594" s="194">
        <f ca="1">IFERROR(__xludf.DUMMYFUNCTION("IMPORTRANGE(""https://docs.google.com/spreadsheets/d/1IYY_tgx_IHuhSq3AJ5eI5OnqOPBNLWSHKh2a30DoXe8/edit?usp=sharing"",""นราธิวาส!J489"")"),0)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IFERROR(__xludf.DUMMYFUNCTION("IMPORTRANGE(""https://docs.google.com/spreadsheets/d/1IYY_tgx_IHuhSq3AJ5eI5OnqOPBNLWSHKh2a30DoXe8/edit?usp=sharing"",""นราธิวาส!I490"")"),0)</f>
        <v>0</v>
      </c>
      <c r="J595" s="194">
        <f ca="1">IFERROR(__xludf.DUMMYFUNCTION("IMPORTRANGE(""https://docs.google.com/spreadsheets/d/1IYY_tgx_IHuhSq3AJ5eI5OnqOPBNLWSHKh2a30DoXe8/edit?usp=sharing"",""นราธิวาส!J490"")"),0)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IFERROR(__xludf.DUMMYFUNCTION("IMPORTRANGE(""https://docs.google.com/spreadsheets/d/1IYY_tgx_IHuhSq3AJ5eI5OnqOPBNLWSHKh2a30DoXe8/edit?usp=sharing"",""นราธิวาส!I491"")"),0)</f>
        <v>0</v>
      </c>
      <c r="J596" s="247">
        <f ca="1">IFERROR(__xludf.DUMMYFUNCTION("IMPORTRANGE(""https://docs.google.com/spreadsheets/d/1IYY_tgx_IHuhSq3AJ5eI5OnqOPBNLWSHKh2a30DoXe8/edit?usp=sharing"",""นราธิวาส!J491"")"),0)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IFERROR(__xludf.DUMMYFUNCTION("IMPORTRANGE(""https://docs.google.com/spreadsheets/d/1IYY_tgx_IHuhSq3AJ5eI5OnqOPBNLWSHKh2a30DoXe8/edit?usp=sharing"",""นราธิวาส!I492"")"),50)</f>
        <v>50</v>
      </c>
      <c r="J597" s="493">
        <f ca="1">IFERROR(__xludf.DUMMYFUNCTION("IMPORTRANGE(""https://docs.google.com/spreadsheets/d/1IYY_tgx_IHuhSq3AJ5eI5OnqOPBNLWSHKh2a30DoXe8/edit?usp=sharing"",""นราธิวาส!J492"")"),0)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IFERROR(__xludf.DUMMYFUNCTION("IMPORTRANGE(""https://docs.google.com/spreadsheets/d/1IYY_tgx_IHuhSq3AJ5eI5OnqOPBNLWSHKh2a30DoXe8/edit?usp=sharing"",""นราธิวาส!L492"")"),10690)</f>
        <v>10690</v>
      </c>
      <c r="M597" s="418"/>
      <c r="N597" s="418">
        <f ca="1">IFERROR(__xludf.DUMMYFUNCTION("IMPORTRANGE(""https://docs.google.com/spreadsheets/d/1IYY_tgx_IHuhSq3AJ5eI5OnqOPBNLWSHKh2a30DoXe8/edit?usp=sharing"",""นราธิวาส!M492"")"),2600)</f>
        <v>2600</v>
      </c>
      <c r="O597" s="418">
        <f t="shared" ref="O597:O601" ca="1" si="126">+IF(L597&gt;0,N597*100/L597,0)</f>
        <v>24.321796071094482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IFERROR(__xludf.DUMMYFUNCTION("IMPORTRANGE(""https://docs.google.com/spreadsheets/d/1IYY_tgx_IHuhSq3AJ5eI5OnqOPBNLWSHKh2a30DoXe8/edit?usp=sharing"",""นราธิวาส!L493"")"),0)</f>
        <v>0</v>
      </c>
      <c r="M598" s="168"/>
      <c r="N598" s="175">
        <f ca="1">IFERROR(__xludf.DUMMYFUNCTION("IMPORTRANGE(""https://docs.google.com/spreadsheets/d/1IYY_tgx_IHuhSq3AJ5eI5OnqOPBNLWSHKh2a30DoXe8/edit?usp=sharing"",""นราธิวาส!M493"")"),0)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IFERROR(__xludf.DUMMYFUNCTION("IMPORTRANGE(""https://docs.google.com/spreadsheets/d/1IYY_tgx_IHuhSq3AJ5eI5OnqOPBNLWSHKh2a30DoXe8/edit?usp=sharing"",""นราธิวาส!L494"")"),10690)</f>
        <v>10690</v>
      </c>
      <c r="M599" s="169"/>
      <c r="N599" s="175">
        <f ca="1">IFERROR(__xludf.DUMMYFUNCTION("IMPORTRANGE(""https://docs.google.com/spreadsheets/d/1IYY_tgx_IHuhSq3AJ5eI5OnqOPBNLWSHKh2a30DoXe8/edit?usp=sharing"",""นราธิวาส!M494"")"),2600)</f>
        <v>2600</v>
      </c>
      <c r="O599" s="175">
        <f t="shared" ca="1" si="126"/>
        <v>24.321796071094482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IFERROR(__xludf.DUMMYFUNCTION("IMPORTRANGE(""https://docs.google.com/spreadsheets/d/1IYY_tgx_IHuhSq3AJ5eI5OnqOPBNLWSHKh2a30DoXe8/edit?usp=sharing"",""นราธิวาส!L495"")"),0)</f>
        <v>0</v>
      </c>
      <c r="M600" s="175"/>
      <c r="N600" s="175">
        <f ca="1">IFERROR(__xludf.DUMMYFUNCTION("IMPORTRANGE(""https://docs.google.com/spreadsheets/d/1IYY_tgx_IHuhSq3AJ5eI5OnqOPBNLWSHKh2a30DoXe8/edit?usp=sharing"",""นราธิวาส!M495"")"),0)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IFERROR(__xludf.DUMMYFUNCTION("IMPORTRANGE(""https://docs.google.com/spreadsheets/d/1IYY_tgx_IHuhSq3AJ5eI5OnqOPBNLWSHKh2a30DoXe8/edit?usp=sharing"",""นราธิวาส!L496"")"),10690)</f>
        <v>10690</v>
      </c>
      <c r="M601" s="175"/>
      <c r="N601" s="175">
        <f ca="1">IFERROR(__xludf.DUMMYFUNCTION("IMPORTRANGE(""https://docs.google.com/spreadsheets/d/1IYY_tgx_IHuhSq3AJ5eI5OnqOPBNLWSHKh2a30DoXe8/edit?usp=sharing"",""นราธิวาส!M496"")"),2600)</f>
        <v>2600</v>
      </c>
      <c r="O601" s="175">
        <f t="shared" ca="1" si="126"/>
        <v>24.321796071094482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IFERROR(__xludf.DUMMYFUNCTION("IMPORTRANGE(""https://docs.google.com/spreadsheets/d/1IYY_tgx_IHuhSq3AJ5eI5OnqOPBNLWSHKh2a30DoXe8/edit?usp=sharing"",""นราธิวาส!M497"")"),0)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IFERROR(__xludf.DUMMYFUNCTION("IMPORTRANGE(""https://docs.google.com/spreadsheets/d/1IYY_tgx_IHuhSq3AJ5eI5OnqOPBNLWSHKh2a30DoXe8/edit?usp=sharing"",""นราธิวาส!M498"")"),0)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IFERROR(__xludf.DUMMYFUNCTION("IMPORTRANGE(""https://docs.google.com/spreadsheets/d/1IYY_tgx_IHuhSq3AJ5eI5OnqOPBNLWSHKh2a30DoXe8/edit?usp=sharing"",""นราธิวาส!M499"")"),0)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IFERROR(__xludf.DUMMYFUNCTION("IMPORTRANGE(""https://docs.google.com/spreadsheets/d/1IYY_tgx_IHuhSq3AJ5eI5OnqOPBNLWSHKh2a30DoXe8/edit?usp=sharing"",""นราธิวาส!M500"")"),2600)</f>
        <v>2600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IFERROR(__xludf.DUMMYFUNCTION("IMPORTRANGE(""https://docs.google.com/spreadsheets/d/1IYY_tgx_IHuhSq3AJ5eI5OnqOPBNLWSHKh2a30DoXe8/edit?usp=sharing"",""นราธิวาส!J502"")"),0)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IFERROR(__xludf.DUMMYFUNCTION("IMPORTRANGE(""https://docs.google.com/spreadsheets/d/1IYY_tgx_IHuhSq3AJ5eI5OnqOPBNLWSHKh2a30DoXe8/edit?usp=sharing"",""นราธิวาส!J503"")"),1)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IFERROR(__xludf.DUMMYFUNCTION("IMPORTRANGE(""https://docs.google.com/spreadsheets/d/1IYY_tgx_IHuhSq3AJ5eI5OnqOPBNLWSHKh2a30DoXe8/edit?usp=sharing"",""นราธิวาส!J166"")"),0)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IFERROR(__xludf.DUMMYFUNCTION("IMPORTRANGE(""https://docs.google.com/spreadsheets/d/1IYY_tgx_IHuhSq3AJ5eI5OnqOPBNLWSHKh2a30DoXe8/edit?usp=sharing"",""นราธิวาส!J166"")"),0)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IFERROR(__xludf.DUMMYFUNCTION("IMPORTRANGE(""https://docs.google.com/spreadsheets/d/1IYY_tgx_IHuhSq3AJ5eI5OnqOPBNLWSHKh2a30DoXe8/edit?usp=sharing"",""นราธิวาส!I506"")"),50)</f>
        <v>50</v>
      </c>
      <c r="J611" s="166">
        <f ca="1">IFERROR(__xludf.DUMMYFUNCTION("IMPORTRANGE(""https://docs.google.com/spreadsheets/d/1IYY_tgx_IHuhSq3AJ5eI5OnqOPBNLWSHKh2a30DoXe8/edit?usp=sharing"",""นราธิวาส!J506"")"),0)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IFERROR(__xludf.DUMMYFUNCTION("IMPORTRANGE(""https://docs.google.com/spreadsheets/d/1IYY_tgx_IHuhSq3AJ5eI5OnqOPBNLWSHKh2a30DoXe8/edit?usp=sharing"",""นราธิวาส!I507"")"),0)</f>
        <v>0</v>
      </c>
      <c r="J612" s="204">
        <f ca="1">IFERROR(__xludf.DUMMYFUNCTION("IMPORTRANGE(""https://docs.google.com/spreadsheets/d/1IYY_tgx_IHuhSq3AJ5eI5OnqOPBNLWSHKh2a30DoXe8/edit?usp=sharing"",""นราธิวาส!J507"")"),50)</f>
        <v>50</v>
      </c>
      <c r="K612" s="167">
        <f t="shared" ca="1" si="127"/>
        <v>100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IFERROR(__xludf.DUMMYFUNCTION("IMPORTRANGE(""https://docs.google.com/spreadsheets/d/1IYY_tgx_IHuhSq3AJ5eI5OnqOPBNLWSHKh2a30DoXe8/edit?usp=sharing"",""นราธิวาส!I508"")"),0)</f>
        <v>0</v>
      </c>
      <c r="J613" s="204">
        <f ca="1">IFERROR(__xludf.DUMMYFUNCTION("IMPORTRANGE(""https://docs.google.com/spreadsheets/d/1IYY_tgx_IHuhSq3AJ5eI5OnqOPBNLWSHKh2a30DoXe8/edit?usp=sharing"",""นราธิวาส!J508"")"),36)</f>
        <v>36</v>
      </c>
      <c r="K613" s="167">
        <f t="shared" ca="1" si="127"/>
        <v>72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IFERROR(__xludf.DUMMYFUNCTION("IMPORTRANGE(""https://docs.google.com/spreadsheets/d/1IYY_tgx_IHuhSq3AJ5eI5OnqOPBNLWSHKh2a30DoXe8/edit?usp=sharing"",""นราธิวาส!I509"")"),0)</f>
        <v>0</v>
      </c>
      <c r="J614" s="204">
        <f ca="1">IFERROR(__xludf.DUMMYFUNCTION("IMPORTRANGE(""https://docs.google.com/spreadsheets/d/1IYY_tgx_IHuhSq3AJ5eI5OnqOPBNLWSHKh2a30DoXe8/edit?usp=sharing"",""นราธิวาส!J509"")"),36)</f>
        <v>36</v>
      </c>
      <c r="K614" s="167">
        <f t="shared" ca="1" si="127"/>
        <v>72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IFERROR(__xludf.DUMMYFUNCTION("IMPORTRANGE(""https://docs.google.com/spreadsheets/d/1IYY_tgx_IHuhSq3AJ5eI5OnqOPBNLWSHKh2a30DoXe8/edit?usp=sharing"",""นราธิวาส!I510"")"),0)</f>
        <v>0</v>
      </c>
      <c r="J615" s="204">
        <f ca="1">IFERROR(__xludf.DUMMYFUNCTION("IMPORTRANGE(""https://docs.google.com/spreadsheets/d/1IYY_tgx_IHuhSq3AJ5eI5OnqOPBNLWSHKh2a30DoXe8/edit?usp=sharing"",""นราธิวาส!J510"")"),36)</f>
        <v>36</v>
      </c>
      <c r="K615" s="167">
        <f t="shared" ca="1" si="127"/>
        <v>72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IFERROR(__xludf.DUMMYFUNCTION("IMPORTRANGE(""https://docs.google.com/spreadsheets/d/1IYY_tgx_IHuhSq3AJ5eI5OnqOPBNLWSHKh2a30DoXe8/edit?usp=sharing"",""นราธิวาส!I511"")"),0)</f>
        <v>0</v>
      </c>
      <c r="J616" s="204">
        <f ca="1">IFERROR(__xludf.DUMMYFUNCTION("IMPORTRANGE(""https://docs.google.com/spreadsheets/d/1IYY_tgx_IHuhSq3AJ5eI5OnqOPBNLWSHKh2a30DoXe8/edit?usp=sharing"",""นราธิวาส!J511"")"),36)</f>
        <v>36</v>
      </c>
      <c r="K616" s="167">
        <f t="shared" ca="1" si="127"/>
        <v>72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IFERROR(__xludf.DUMMYFUNCTION("IMPORTRANGE(""https://docs.google.com/spreadsheets/d/1IYY_tgx_IHuhSq3AJ5eI5OnqOPBNLWSHKh2a30DoXe8/edit?usp=sharing"",""นราธิวาส!I512"")"),0)</f>
        <v>0</v>
      </c>
      <c r="J617" s="194">
        <f ca="1">IFERROR(__xludf.DUMMYFUNCTION("IMPORTRANGE(""https://docs.google.com/spreadsheets/d/1IYY_tgx_IHuhSq3AJ5eI5OnqOPBNLWSHKh2a30DoXe8/edit?usp=sharing"",""นราธิวาส!J512"")"),0)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IFERROR(__xludf.DUMMYFUNCTION("IMPORTRANGE(""https://docs.google.com/spreadsheets/d/1IYY_tgx_IHuhSq3AJ5eI5OnqOPBNLWSHKh2a30DoXe8/edit?usp=sharing"",""นราธิวาส!I513"")"),0)</f>
        <v>0</v>
      </c>
      <c r="J618" s="195">
        <f ca="1">IFERROR(__xludf.DUMMYFUNCTION("IMPORTRANGE(""https://docs.google.com/spreadsheets/d/1IYY_tgx_IHuhSq3AJ5eI5OnqOPBNLWSHKh2a30DoXe8/edit?usp=sharing"",""นราธิวาส!J513"")"),0)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IFERROR(__xludf.DUMMYFUNCTION("IMPORTRANGE(""https://docs.google.com/spreadsheets/d/1IYY_tgx_IHuhSq3AJ5eI5OnqOPBNLWSHKh2a30DoXe8/edit?usp=sharing"",""นราธิวาส!I514"")"),0)</f>
        <v>0</v>
      </c>
      <c r="J619" s="195">
        <f ca="1">IFERROR(__xludf.DUMMYFUNCTION("IMPORTRANGE(""https://docs.google.com/spreadsheets/d/1IYY_tgx_IHuhSq3AJ5eI5OnqOPBNLWSHKh2a30DoXe8/edit?usp=sharing"",""นราธิวาส!J514"")"),0)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IFERROR(__xludf.DUMMYFUNCTION("IMPORTRANGE(""https://docs.google.com/spreadsheets/d/1IYY_tgx_IHuhSq3AJ5eI5OnqOPBNLWSHKh2a30DoXe8/edit?usp=sharing"",""นราธิวาส!I515"")"),266.839999999999)</f>
        <v>266.83999999999901</v>
      </c>
      <c r="J620" s="209">
        <f ca="1">IFERROR(__xludf.DUMMYFUNCTION("IMPORTRANGE(""https://docs.google.com/spreadsheets/d/1IYY_tgx_IHuhSq3AJ5eI5OnqOPBNLWSHKh2a30DoXe8/edit?usp=sharing"",""นราธิวาส!J515"")"),267)</f>
        <v>267</v>
      </c>
      <c r="K620" s="167">
        <f t="shared" ref="K620:K626" ca="1" si="128">IF(I$620&gt;0,J620*100/I$620,0)</f>
        <v>100.05996102533391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IFERROR(__xludf.DUMMYFUNCTION("IMPORTRANGE(""https://docs.google.com/spreadsheets/d/1IYY_tgx_IHuhSq3AJ5eI5OnqOPBNLWSHKh2a30DoXe8/edit?usp=sharing"",""นราธิวาส!I516"")"),0)</f>
        <v>0</v>
      </c>
      <c r="J621" s="209">
        <f ca="1">IFERROR(__xludf.DUMMYFUNCTION("IMPORTRANGE(""https://docs.google.com/spreadsheets/d/1IYY_tgx_IHuhSq3AJ5eI5OnqOPBNLWSHKh2a30DoXe8/edit?usp=sharing"",""นราธิวาส!J516"")"),267)</f>
        <v>267</v>
      </c>
      <c r="K621" s="167">
        <f t="shared" ca="1" si="128"/>
        <v>100.05996102533391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IFERROR(__xludf.DUMMYFUNCTION("IMPORTRANGE(""https://docs.google.com/spreadsheets/d/1IYY_tgx_IHuhSq3AJ5eI5OnqOPBNLWSHKh2a30DoXe8/edit?usp=sharing"",""นราธิวาส!I517"")"),0)</f>
        <v>0</v>
      </c>
      <c r="J622" s="195">
        <f ca="1">IFERROR(__xludf.DUMMYFUNCTION("IMPORTRANGE(""https://docs.google.com/spreadsheets/d/1IYY_tgx_IHuhSq3AJ5eI5OnqOPBNLWSHKh2a30DoXe8/edit?usp=sharing"",""นราธิวาส!J517"")"),125)</f>
        <v>125</v>
      </c>
      <c r="K622" s="167">
        <f t="shared" ca="1" si="128"/>
        <v>46.844551041822989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IFERROR(__xludf.DUMMYFUNCTION("IMPORTRANGE(""https://docs.google.com/spreadsheets/d/1IYY_tgx_IHuhSq3AJ5eI5OnqOPBNLWSHKh2a30DoXe8/edit?usp=sharing"",""นราธิวาส!I518"")"),0)</f>
        <v>0</v>
      </c>
      <c r="J623" s="195">
        <f ca="1">IFERROR(__xludf.DUMMYFUNCTION("IMPORTRANGE(""https://docs.google.com/spreadsheets/d/1IYY_tgx_IHuhSq3AJ5eI5OnqOPBNLWSHKh2a30DoXe8/edit?usp=sharing"",""นราธิวาส!J518"")"),142)</f>
        <v>142</v>
      </c>
      <c r="K623" s="167">
        <f t="shared" ca="1" si="128"/>
        <v>53.215409983510916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IFERROR(__xludf.DUMMYFUNCTION("IMPORTRANGE(""https://docs.google.com/spreadsheets/d/1IYY_tgx_IHuhSq3AJ5eI5OnqOPBNLWSHKh2a30DoXe8/edit?usp=sharing"",""นราธิวาส!I519"")"),0)</f>
        <v>0</v>
      </c>
      <c r="J624" s="194">
        <f ca="1">IFERROR(__xludf.DUMMYFUNCTION("IMPORTRANGE(""https://docs.google.com/spreadsheets/d/1IYY_tgx_IHuhSq3AJ5eI5OnqOPBNLWSHKh2a30DoXe8/edit?usp=sharing"",""นราธิวาส!J519"")"),267)</f>
        <v>267</v>
      </c>
      <c r="K624" s="167">
        <f t="shared" ca="1" si="128"/>
        <v>100.05996102533391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IFERROR(__xludf.DUMMYFUNCTION("IMPORTRANGE(""https://docs.google.com/spreadsheets/d/1IYY_tgx_IHuhSq3AJ5eI5OnqOPBNLWSHKh2a30DoXe8/edit?usp=sharing"",""นราธิวาส!I520"")"),0)</f>
        <v>0</v>
      </c>
      <c r="J625" s="195">
        <f ca="1">IFERROR(__xludf.DUMMYFUNCTION("IMPORTRANGE(""https://docs.google.com/spreadsheets/d/1IYY_tgx_IHuhSq3AJ5eI5OnqOPBNLWSHKh2a30DoXe8/edit?usp=sharing"",""นราธิวาส!J520"")"),248)</f>
        <v>248</v>
      </c>
      <c r="K625" s="167">
        <f t="shared" ca="1" si="128"/>
        <v>92.93958926697681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IFERROR(__xludf.DUMMYFUNCTION("IMPORTRANGE(""https://docs.google.com/spreadsheets/d/1IYY_tgx_IHuhSq3AJ5eI5OnqOPBNLWSHKh2a30DoXe8/edit?usp=sharing"",""นราธิวาส!I521"")"),0)</f>
        <v>0</v>
      </c>
      <c r="J626" s="195">
        <f ca="1">IFERROR(__xludf.DUMMYFUNCTION("IMPORTRANGE(""https://docs.google.com/spreadsheets/d/1IYY_tgx_IHuhSq3AJ5eI5OnqOPBNLWSHKh2a30DoXe8/edit?usp=sharing"",""นราธิวาส!J521"")"),248)</f>
        <v>248</v>
      </c>
      <c r="K626" s="167">
        <f t="shared" ca="1" si="128"/>
        <v>92.93958926697681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IFERROR(__xludf.DUMMYFUNCTION("IMPORTRANGE(""https://docs.google.com/spreadsheets/d/1IYY_tgx_IHuhSq3AJ5eI5OnqOPBNLWSHKh2a30DoXe8/edit?usp=sharing"",""นราธิวาส!I523"")"),309233.81)</f>
        <v>309233.81</v>
      </c>
      <c r="J628" s="347">
        <f ca="1">IFERROR(__xludf.DUMMYFUNCTION("IMPORTRANGE(""https://docs.google.com/spreadsheets/d/1IYY_tgx_IHuhSq3AJ5eI5OnqOPBNLWSHKh2a30DoXe8/edit?usp=sharing"",""นราธิวาส!J523"")"),218689.18)</f>
        <v>218689.18</v>
      </c>
      <c r="K628" s="348">
        <f t="shared" ref="K628:K635" ca="1" si="129">IF(I628&gt;0,J628*100/I628,0)</f>
        <v>70.719686181792341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IFERROR(__xludf.DUMMYFUNCTION("IMPORTRANGE(""https://docs.google.com/spreadsheets/d/1IYY_tgx_IHuhSq3AJ5eI5OnqOPBNLWSHKh2a30DoXe8/edit?usp=sharing"",""นราธิวาส!I524"")"),29)</f>
        <v>29</v>
      </c>
      <c r="J629" s="347">
        <f ca="1">IFERROR(__xludf.DUMMYFUNCTION("IMPORTRANGE(""https://docs.google.com/spreadsheets/d/1IYY_tgx_IHuhSq3AJ5eI5OnqOPBNLWSHKh2a30DoXe8/edit?usp=sharing"",""นราธิวาส!J524"")"),20)</f>
        <v>20</v>
      </c>
      <c r="K629" s="348">
        <f t="shared" ca="1" si="129"/>
        <v>68.965517241379317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IFERROR(__xludf.DUMMYFUNCTION("IMPORTRANGE(""https://docs.google.com/spreadsheets/d/1IYY_tgx_IHuhSq3AJ5eI5OnqOPBNLWSHKh2a30DoXe8/edit?usp=sharing"",""นราธิวาส!I525"")"),284624.01)</f>
        <v>284624.01</v>
      </c>
      <c r="J630" s="347">
        <f ca="1">IFERROR(__xludf.DUMMYFUNCTION("IMPORTRANGE(""https://docs.google.com/spreadsheets/d/1IYY_tgx_IHuhSq3AJ5eI5OnqOPBNLWSHKh2a30DoXe8/edit?usp=sharing"",""นราธิวาส!J525"")"),11880.33)</f>
        <v>11880.33</v>
      </c>
      <c r="K630" s="348">
        <f t="shared" ca="1" si="129"/>
        <v>4.1740435039194335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IFERROR(__xludf.DUMMYFUNCTION("IMPORTRANGE(""https://docs.google.com/spreadsheets/d/1IYY_tgx_IHuhSq3AJ5eI5OnqOPBNLWSHKh2a30DoXe8/edit?usp=sharing"",""นราธิวาส!I526"")"),10)</f>
        <v>10</v>
      </c>
      <c r="J631" s="347">
        <f ca="1">IFERROR(__xludf.DUMMYFUNCTION("IMPORTRANGE(""https://docs.google.com/spreadsheets/d/1IYY_tgx_IHuhSq3AJ5eI5OnqOPBNLWSHKh2a30DoXe8/edit?usp=sharing"",""นราธิวาส!J526"")"),9)</f>
        <v>9</v>
      </c>
      <c r="K631" s="348">
        <f t="shared" ca="1" si="129"/>
        <v>90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IFERROR(__xludf.DUMMYFUNCTION("IMPORTRANGE(""https://docs.google.com/spreadsheets/d/1IYY_tgx_IHuhSq3AJ5eI5OnqOPBNLWSHKh2a30DoXe8/edit?usp=sharing"",""นราธิวาส!I527"")"),81143.83)</f>
        <v>81143.83</v>
      </c>
      <c r="J632" s="347">
        <f ca="1">IFERROR(__xludf.DUMMYFUNCTION("IMPORTRANGE(""https://docs.google.com/spreadsheets/d/1IYY_tgx_IHuhSq3AJ5eI5OnqOPBNLWSHKh2a30DoXe8/edit?usp=sharing"",""นราธิวาส!J527"")"),12216.56)</f>
        <v>12216.56</v>
      </c>
      <c r="K632" s="348">
        <f t="shared" ca="1" si="129"/>
        <v>15.055439212075644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IFERROR(__xludf.DUMMYFUNCTION("IMPORTRANGE(""https://docs.google.com/spreadsheets/d/1IYY_tgx_IHuhSq3AJ5eI5OnqOPBNLWSHKh2a30DoXe8/edit?usp=sharing"",""นราธิวาส!I528"")"),127)</f>
        <v>127</v>
      </c>
      <c r="J633" s="347">
        <f ca="1">IFERROR(__xludf.DUMMYFUNCTION("IMPORTRANGE(""https://docs.google.com/spreadsheets/d/1IYY_tgx_IHuhSq3AJ5eI5OnqOPBNLWSHKh2a30DoXe8/edit?usp=sharing"",""นราธิวาส!J528"")"),26)</f>
        <v>26</v>
      </c>
      <c r="K633" s="348">
        <f t="shared" ca="1" si="129"/>
        <v>20.472440944881889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IFERROR(__xludf.DUMMYFUNCTION("IMPORTRANGE(""https://docs.google.com/spreadsheets/d/1IYY_tgx_IHuhSq3AJ5eI5OnqOPBNLWSHKh2a30DoXe8/edit?usp=sharing"",""นราธิวาส!I529"")"),300000)</f>
        <v>300000</v>
      </c>
      <c r="J634" s="347">
        <f ca="1">IFERROR(__xludf.DUMMYFUNCTION("IMPORTRANGE(""https://docs.google.com/spreadsheets/d/1IYY_tgx_IHuhSq3AJ5eI5OnqOPBNLWSHKh2a30DoXe8/edit?usp=sharing"",""นราธิวาส!J529"")"),300000)</f>
        <v>300000</v>
      </c>
      <c r="K634" s="348">
        <f t="shared" ca="1" si="129"/>
        <v>100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IFERROR(__xludf.DUMMYFUNCTION("IMPORTRANGE(""https://docs.google.com/spreadsheets/d/1IYY_tgx_IHuhSq3AJ5eI5OnqOPBNLWSHKh2a30DoXe8/edit?usp=sharing"",""นราธิวาส!I530"")"),10)</f>
        <v>10</v>
      </c>
      <c r="J635" s="517">
        <f ca="1">IFERROR(__xludf.DUMMYFUNCTION("IMPORTRANGE(""https://docs.google.com/spreadsheets/d/1IYY_tgx_IHuhSq3AJ5eI5OnqOPBNLWSHKh2a30DoXe8/edit?usp=sharing"",""นราธิวาส!J530"")"),7)</f>
        <v>7</v>
      </c>
      <c r="K635" s="492">
        <f t="shared" ca="1" si="129"/>
        <v>70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N5" sqref="N5:P5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249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2748290.94</v>
      </c>
      <c r="M8" s="23">
        <f t="shared" ca="1" si="0"/>
        <v>1614970</v>
      </c>
      <c r="N8" s="23">
        <f t="shared" ca="1" si="0"/>
        <v>1704427.82</v>
      </c>
      <c r="O8" s="22">
        <f t="shared" ref="O8:O16" ca="1" si="1">IF(L8&gt;0,N8*100/L8,0)</f>
        <v>62.017736011602906</v>
      </c>
      <c r="P8" s="22">
        <f t="shared" ref="P8:P16" ca="1" si="2">IF(M8&gt;0,N8*100/M8,0)</f>
        <v>105.53928679789718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2748290.94</v>
      </c>
      <c r="M10" s="30">
        <f t="shared" ca="1" si="4"/>
        <v>1614970</v>
      </c>
      <c r="N10" s="30">
        <f t="shared" ca="1" si="4"/>
        <v>1704427.82</v>
      </c>
      <c r="O10" s="29">
        <f t="shared" ca="1" si="1"/>
        <v>62.017736011602906</v>
      </c>
      <c r="P10" s="29">
        <f t="shared" ca="1" si="2"/>
        <v>105.53928679789718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2735790.94</v>
      </c>
      <c r="M12" s="38">
        <f t="shared" ca="1" si="6"/>
        <v>1602470</v>
      </c>
      <c r="N12" s="38">
        <f t="shared" ca="1" si="6"/>
        <v>1691927.82</v>
      </c>
      <c r="O12" s="38">
        <f t="shared" ca="1" si="1"/>
        <v>61.844192670657797</v>
      </c>
      <c r="P12" s="38">
        <f t="shared" ca="1" si="2"/>
        <v>105.58249577215174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1654700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1081090.94</v>
      </c>
      <c r="M14" s="38">
        <f t="shared" si="8"/>
        <v>0</v>
      </c>
      <c r="N14" s="38">
        <f t="shared" ca="1" si="8"/>
        <v>498113.88999999996</v>
      </c>
      <c r="O14" s="41">
        <f t="shared" ca="1" si="1"/>
        <v>46.075114642992006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12500</v>
      </c>
      <c r="M16" s="38">
        <f t="shared" ca="1" si="10"/>
        <v>12500</v>
      </c>
      <c r="N16" s="38">
        <f t="shared" ca="1" si="10"/>
        <v>12500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2024465</v>
      </c>
      <c r="M18" s="23">
        <f t="shared" ca="1" si="11"/>
        <v>1614970</v>
      </c>
      <c r="N18" s="23">
        <f t="shared" ca="1" si="11"/>
        <v>1206313.9300000002</v>
      </c>
      <c r="O18" s="22">
        <f t="shared" ref="O18:O20" ca="1" si="12">IF(L18&gt;0,N18*100/L18,0)</f>
        <v>59.58680095728996</v>
      </c>
      <c r="P18" s="22">
        <f t="shared" ref="P18:P26" ca="1" si="13">IF(M18&gt;0,N18*100/M18,0)</f>
        <v>74.695748527836443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2024465</v>
      </c>
      <c r="M20" s="30">
        <f t="shared" ca="1" si="15"/>
        <v>1614970</v>
      </c>
      <c r="N20" s="30">
        <f t="shared" ca="1" si="15"/>
        <v>1206313.9300000002</v>
      </c>
      <c r="O20" s="29">
        <f t="shared" ca="1" si="12"/>
        <v>59.58680095728996</v>
      </c>
      <c r="P20" s="29">
        <f t="shared" ca="1" si="13"/>
        <v>74.695748527836443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2011965</v>
      </c>
      <c r="M22" s="42">
        <f t="shared" ca="1" si="18"/>
        <v>1602470</v>
      </c>
      <c r="N22" s="41">
        <f t="shared" ca="1" si="18"/>
        <v>1193813.9300000002</v>
      </c>
      <c r="O22" s="41">
        <f t="shared" ca="1" si="17"/>
        <v>59.335720551798872</v>
      </c>
      <c r="P22" s="41">
        <f t="shared" ca="1" si="13"/>
        <v>74.498363775920936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1654700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357265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12500</v>
      </c>
      <c r="M26" s="50">
        <f t="shared" ca="1" si="22"/>
        <v>12500</v>
      </c>
      <c r="N26" s="50">
        <f t="shared" ca="1" si="22"/>
        <v>12500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723825.94</v>
      </c>
      <c r="M28" s="23">
        <f t="shared" si="23"/>
        <v>0</v>
      </c>
      <c r="N28" s="23">
        <f t="shared" ca="1" si="23"/>
        <v>498113.88999999996</v>
      </c>
      <c r="O28" s="22">
        <f t="shared" ref="O28:O30" ca="1" si="24">IF(L28&gt;0,N28*100/L28,0)</f>
        <v>68.816805598318282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723825.94</v>
      </c>
      <c r="M30" s="30">
        <f t="shared" si="27"/>
        <v>0</v>
      </c>
      <c r="N30" s="30">
        <f t="shared" ca="1" si="27"/>
        <v>498113.88999999996</v>
      </c>
      <c r="O30" s="29">
        <f t="shared" ca="1" si="24"/>
        <v>68.816805598318282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723825.94</v>
      </c>
      <c r="M32" s="41">
        <f t="shared" si="30"/>
        <v>0</v>
      </c>
      <c r="N32" s="41">
        <f t="shared" ca="1" si="30"/>
        <v>498113.88999999996</v>
      </c>
      <c r="O32" s="41">
        <f t="shared" ca="1" si="29"/>
        <v>68.816805598318282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723825.94</v>
      </c>
      <c r="M34" s="41">
        <f t="shared" si="32"/>
        <v>0</v>
      </c>
      <c r="N34" s="41">
        <f t="shared" ca="1" si="32"/>
        <v>498113.88999999996</v>
      </c>
      <c r="O34" s="41">
        <f t="shared" ca="1" si="29"/>
        <v>68.816805598318282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2024465</v>
      </c>
      <c r="M37" s="55">
        <f t="shared" ca="1" si="33"/>
        <v>1614970</v>
      </c>
      <c r="N37" s="55">
        <f t="shared" ca="1" si="33"/>
        <v>1206313.9300000002</v>
      </c>
      <c r="O37" s="56">
        <f t="shared" ca="1" si="29"/>
        <v>59.58680095728996</v>
      </c>
      <c r="P37" s="56">
        <f t="shared" ca="1" si="25"/>
        <v>74.695748527836443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569100</v>
      </c>
      <c r="M41" s="79">
        <f t="shared" ca="1" si="34"/>
        <v>426800</v>
      </c>
      <c r="N41" s="79">
        <f t="shared" ca="1" si="34"/>
        <v>314148.90000000002</v>
      </c>
      <c r="O41" s="78">
        <f t="shared" ref="O41:O43" ca="1" si="35">IF(L41&gt;0,N41*100/L41,0)</f>
        <v>55.201001581444395</v>
      </c>
      <c r="P41" s="78">
        <f t="shared" ref="P41:P43" ca="1" si="36">IF(M41&gt;0,N41*100/M41,0)</f>
        <v>73.605646672914716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569100</v>
      </c>
      <c r="M43" s="79">
        <f t="shared" ca="1" si="38"/>
        <v>426800</v>
      </c>
      <c r="N43" s="79">
        <f t="shared" ca="1" si="38"/>
        <v>314148.90000000002</v>
      </c>
      <c r="O43" s="78">
        <f t="shared" ca="1" si="35"/>
        <v>55.201001581444395</v>
      </c>
      <c r="P43" s="78">
        <f t="shared" ca="1" si="36"/>
        <v>73.605646672914716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569100</v>
      </c>
      <c r="M45" s="91">
        <f ca="1">IFERROR(__xludf.DUMMYFUNCTION("IMPORTRANGE(""https://docs.google.com/spreadsheets/d/1Yj_ptqi66GCucihVvJfMjLAmec39IyEx_6qawtMGysU/edit?usp=sharing"",""สบก!Q86"")"),426800)</f>
        <v>426800</v>
      </c>
      <c r="N45" s="91">
        <f ca="1">IFERROR(__xludf.DUMMYFUNCTION("IMPORTRANGE(""https://docs.google.com/spreadsheets/d/1Yj_ptqi66GCucihVvJfMjLAmec39IyEx_6qawtMGysU/edit?usp=sharing"",""สบก!R86"")"),314148.9)</f>
        <v>314148.90000000002</v>
      </c>
      <c r="O45" s="92">
        <f ca="1">IF(L45&gt;0,N45*100/L45,0)</f>
        <v>55.201001581444395</v>
      </c>
      <c r="P45" s="92">
        <f ca="1">IF(M45&gt;0,N45*100/M45,0)</f>
        <v>73.605646672914716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IFERROR(__xludf.DUMMYFUNCTION("IMPORTRANGE(""https://docs.google.com/spreadsheets/d/1Yj_ptqi66GCucihVvJfMjLAmec39IyEx_6qawtMGysU/edit?usp=sharing"",""สบก!M86"")"),569100)</f>
        <v>569100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IFERROR(__xludf.DUMMYFUNCTION("IMPORTRANGE(""https://docs.google.com/spreadsheets/d/1Yj_ptqi66GCucihVvJfMjLAmec39IyEx_6qawtMGysU/edit?usp=sharing"",""สบก!N86"")"),0)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IFERROR(__xludf.DUMMYFUNCTION("IMPORTRANGE(""https://docs.google.com/spreadsheets/d/1Yj_ptqi66GCucihVvJfMjLAmec39IyEx_6qawtMGysU/edit?usp=sharing"",""สบก!O86"")"),0)</f>
        <v>0</v>
      </c>
      <c r="M49" s="101"/>
      <c r="N49" s="91">
        <f ca="1">IFERROR(__xludf.DUMMYFUNCTION("IMPORTRANGE(""https://docs.google.com/spreadsheets/d/1Yj_ptqi66GCucihVvJfMjLAmec39IyEx_6qawtMGysU/edit?usp=sharing"",""สบก!S86"")"),0)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350000</v>
      </c>
      <c r="M53" s="125">
        <f t="shared" ca="1" si="39"/>
        <v>351030</v>
      </c>
      <c r="N53" s="125">
        <f t="shared" ca="1" si="39"/>
        <v>243744.47</v>
      </c>
      <c r="O53" s="124">
        <f t="shared" ref="O53:O55" ca="1" si="40">IF(L53&gt;0,N53*100/L53,0)</f>
        <v>69.641277142857149</v>
      </c>
      <c r="P53" s="124">
        <f t="shared" ref="P53:P55" ca="1" si="41">IF(M53&gt;0,N53*100/M53,0)</f>
        <v>69.436934165171067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350000</v>
      </c>
      <c r="M55" s="125">
        <f t="shared" ca="1" si="43"/>
        <v>351030</v>
      </c>
      <c r="N55" s="125">
        <f t="shared" ca="1" si="43"/>
        <v>243744.47</v>
      </c>
      <c r="O55" s="124">
        <f t="shared" ca="1" si="40"/>
        <v>69.641277142857149</v>
      </c>
      <c r="P55" s="124">
        <f t="shared" ca="1" si="41"/>
        <v>69.436934165171067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350000</v>
      </c>
      <c r="M57" s="91">
        <f ca="1">IFERROR(__xludf.DUMMYFUNCTION("IMPORTRANGE(""https://docs.google.com/spreadsheets/d/1Yj_ptqi66GCucihVvJfMjLAmec39IyEx_6qawtMGysU/edit?usp=sharing"",""สบก!Z86"")"),351030)</f>
        <v>351030</v>
      </c>
      <c r="N57" s="91">
        <f ca="1">IFERROR(__xludf.DUMMYFUNCTION("IMPORTRANGE(""https://docs.google.com/spreadsheets/d/1Yj_ptqi66GCucihVvJfMjLAmec39IyEx_6qawtMGysU/edit?usp=sharing"",""สบก!AA86"")"),243744.47)</f>
        <v>243744.47</v>
      </c>
      <c r="O57" s="92">
        <f ca="1">IF(L57&gt;0,N57*100/L57,0)</f>
        <v>69.641277142857149</v>
      </c>
      <c r="P57" s="92">
        <f ca="1">IF(M57&gt;0,N57*100/M57,0)</f>
        <v>69.436934165171067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IFERROR(__xludf.DUMMYFUNCTION("IMPORTRANGE(""https://docs.google.com/spreadsheets/d/1Yj_ptqi66GCucihVvJfMjLAmec39IyEx_6qawtMGysU/edit?usp=sharing"",""สบก!V86"")"),350000)</f>
        <v>350000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IFERROR(__xludf.DUMMYFUNCTION("IMPORTRANGE(""https://docs.google.com/spreadsheets/d/1Yj_ptqi66GCucihVvJfMjLAmec39IyEx_6qawtMGysU/edit?usp=sharing"",""สบก!W86"")"),0)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IFERROR(__xludf.DUMMYFUNCTION("IMPORTRANGE(""https://docs.google.com/spreadsheets/d/1Yj_ptqi66GCucihVvJfMjLAmec39IyEx_6qawtMGysU/edit?usp=sharing"",""สบก!X86"")"),0)</f>
        <v>0</v>
      </c>
      <c r="M61" s="101"/>
      <c r="N61" s="91">
        <f ca="1">IFERROR(__xludf.DUMMYFUNCTION("IMPORTRANGE(""https://docs.google.com/spreadsheets/d/1Yj_ptqi66GCucihVvJfMjLAmec39IyEx_6qawtMGysU/edit?usp=sharing"",""สบก!AB86"")"),0)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IFERROR(__xludf.DUMMYFUNCTION("IMPORTRANGE(""https://docs.google.com/spreadsheets/d/1IYY_tgx_IHuhSq3AJ5eI5OnqOPBNLWSHKh2a30DoXe8/edit?usp=sharing"",""ปัตตานี!I9"")"),0)</f>
        <v>0</v>
      </c>
      <c r="J64" s="146">
        <f ca="1">IFERROR(__xludf.DUMMYFUNCTION("IMPORTRANGE(""https://docs.google.com/spreadsheets/d/1IYY_tgx_IHuhSq3AJ5eI5OnqOPBNLWSHKh2a30DoXe8/edit?usp=sharing"",""ปัตตานี!J9"")"),0)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IFERROR(__xludf.DUMMYFUNCTION("IMPORTRANGE(""https://docs.google.com/spreadsheets/d/1IYY_tgx_IHuhSq3AJ5eI5OnqOPBNLWSHKh2a30DoXe8/edit?usp=sharing"",""ปัตตานี!I10"")"),0)</f>
        <v>0</v>
      </c>
      <c r="J65" s="146">
        <f ca="1">IFERROR(__xludf.DUMMYFUNCTION("IMPORTRANGE(""https://docs.google.com/spreadsheets/d/1IYY_tgx_IHuhSq3AJ5eI5OnqOPBNLWSHKh2a30DoXe8/edit?usp=sharing"",""ปัตตานี!J10"")"),0)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IFERROR(__xludf.DUMMYFUNCTION("IMPORTRANGE(""https://docs.google.com/spreadsheets/d/1Yj_ptqi66GCucihVvJfMjLAmec39IyEx_6qawtMGysU/edit?usp=sharing"",""สบก!AI86"")"),0)</f>
        <v>0</v>
      </c>
      <c r="N70" s="174">
        <f ca="1">IFERROR(__xludf.DUMMYFUNCTION("IMPORTRANGE(""https://docs.google.com/spreadsheets/d/1Yj_ptqi66GCucihVvJfMjLAmec39IyEx_6qawtMGysU/edit?usp=sharing"",""สบก!AJ86"")"),0)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IFERROR(__xludf.DUMMYFUNCTION("IMPORTRANGE(""https://docs.google.com/spreadsheets/d/1Yj_ptqi66GCucihVvJfMjLAmec39IyEx_6qawtMGysU/edit?usp=sharing"",""สบก!AE86"")"),0)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IFERROR(__xludf.DUMMYFUNCTION("IMPORTRANGE(""https://docs.google.com/spreadsheets/d/1Yj_ptqi66GCucihVvJfMjLAmec39IyEx_6qawtMGysU/edit?usp=sharing"",""สบก!AF86"")"),0)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IFERROR(__xludf.DUMMYFUNCTION("IMPORTRANGE(""https://docs.google.com/spreadsheets/d/1Yj_ptqi66GCucihVvJfMjLAmec39IyEx_6qawtMGysU/edit?usp=sharing"",""สบก!AG86"")"),0)</f>
        <v>0</v>
      </c>
      <c r="M74" s="101"/>
      <c r="N74" s="91">
        <f ca="1">IFERROR(__xludf.DUMMYFUNCTION("IMPORTRANGE(""https://docs.google.com/spreadsheets/d/1Yj_ptqi66GCucihVvJfMjLAmec39IyEx_6qawtMGysU/edit?usp=sharing"",""สบก!AK86"")"),0)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IFERROR(__xludf.DUMMYFUNCTION("IMPORTRANGE(""https://docs.google.com/spreadsheets/d/1IYY_tgx_IHuhSq3AJ5eI5OnqOPBNLWSHKh2a30DoXe8/edit?usp=sharing"",""ปัตตานี!J16"")"),0)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IFERROR(__xludf.DUMMYFUNCTION("IMPORTRANGE(""https://docs.google.com/spreadsheets/d/1IYY_tgx_IHuhSq3AJ5eI5OnqOPBNLWSHKh2a30DoXe8/edit?usp=sharing"",""ปัตตานี!J17"")"),0)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IFERROR(__xludf.DUMMYFUNCTION("IMPORTRANGE(""https://docs.google.com/spreadsheets/d/1IYY_tgx_IHuhSq3AJ5eI5OnqOPBNLWSHKh2a30DoXe8/edit?usp=sharing"",""ปัตตานี!J18"")"),0)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IFERROR(__xludf.DUMMYFUNCTION("IMPORTRANGE(""https://docs.google.com/spreadsheets/d/1IYY_tgx_IHuhSq3AJ5eI5OnqOPBNLWSHKh2a30DoXe8/edit?usp=sharing"",""ปัตตานี!J19"")"),0)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IFERROR(__xludf.DUMMYFUNCTION("IMPORTRANGE(""https://docs.google.com/spreadsheets/d/1IYY_tgx_IHuhSq3AJ5eI5OnqOPBNLWSHKh2a30DoXe8/edit?usp=sharing"",""ปัตตานี!I20"")"),0)</f>
        <v>0</v>
      </c>
      <c r="J80" s="207">
        <f ca="1">IFERROR(__xludf.DUMMYFUNCTION("IMPORTRANGE(""https://docs.google.com/spreadsheets/d/1IYY_tgx_IHuhSq3AJ5eI5OnqOPBNLWSHKh2a30DoXe8/edit?usp=sharing"",""ปัตตานี!J20"")"),0)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IFERROR(__xludf.DUMMYFUNCTION("IMPORTRANGE(""https://docs.google.com/spreadsheets/d/1IYY_tgx_IHuhSq3AJ5eI5OnqOPBNLWSHKh2a30DoXe8/edit?usp=sharing"",""ปัตตานี!I21"")"),0)</f>
        <v>0</v>
      </c>
      <c r="J81" s="207">
        <f ca="1">IFERROR(__xludf.DUMMYFUNCTION("IMPORTRANGE(""https://docs.google.com/spreadsheets/d/1IYY_tgx_IHuhSq3AJ5eI5OnqOPBNLWSHKh2a30DoXe8/edit?usp=sharing"",""ปัตตานี!J21"")"),0)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IFERROR(__xludf.DUMMYFUNCTION("IMPORTRANGE(""https://docs.google.com/spreadsheets/d/1IYY_tgx_IHuhSq3AJ5eI5OnqOPBNLWSHKh2a30DoXe8/edit?usp=sharing"",""ปัตตานี!I22"")"),0)</f>
        <v>0</v>
      </c>
      <c r="J82" s="210">
        <f ca="1">IFERROR(__xludf.DUMMYFUNCTION("IMPORTRANGE(""https://docs.google.com/spreadsheets/d/1IYY_tgx_IHuhSq3AJ5eI5OnqOPBNLWSHKh2a30DoXe8/edit?usp=sharing"",""ปัตตานี!J22"")"),0)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IFERROR(__xludf.DUMMYFUNCTION("IMPORTRANGE(""https://docs.google.com/spreadsheets/d/1IYY_tgx_IHuhSq3AJ5eI5OnqOPBNLWSHKh2a30DoXe8/edit?usp=sharing"",""ปัตตานี!I23"")"),0)</f>
        <v>0</v>
      </c>
      <c r="J83" s="210">
        <f ca="1">IFERROR(__xludf.DUMMYFUNCTION("IMPORTRANGE(""https://docs.google.com/spreadsheets/d/1IYY_tgx_IHuhSq3AJ5eI5OnqOPBNLWSHKh2a30DoXe8/edit?usp=sharing"",""ปัตตานี!J23"")"),0)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IFERROR(__xludf.DUMMYFUNCTION("IMPORTRANGE(""https://docs.google.com/spreadsheets/d/1IYY_tgx_IHuhSq3AJ5eI5OnqOPBNLWSHKh2a30DoXe8/edit?usp=sharing"",""ปัตตานี!I24"")"),0)</f>
        <v>0</v>
      </c>
      <c r="J84" s="195">
        <f ca="1">IFERROR(__xludf.DUMMYFUNCTION("IMPORTRANGE(""https://docs.google.com/spreadsheets/d/1IYY_tgx_IHuhSq3AJ5eI5OnqOPBNLWSHKh2a30DoXe8/edit?usp=sharing"",""ปัตตานี!J24"")"),0)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IFERROR(__xludf.DUMMYFUNCTION("IMPORTRANGE(""https://docs.google.com/spreadsheets/d/1IYY_tgx_IHuhSq3AJ5eI5OnqOPBNLWSHKh2a30DoXe8/edit?usp=sharing"",""ปัตตานี!I25"")"),0)</f>
        <v>0</v>
      </c>
      <c r="J85" s="195">
        <f ca="1">IFERROR(__xludf.DUMMYFUNCTION("IMPORTRANGE(""https://docs.google.com/spreadsheets/d/1IYY_tgx_IHuhSq3AJ5eI5OnqOPBNLWSHKh2a30DoXe8/edit?usp=sharing"",""ปัตตานี!J25"")"),0)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IFERROR(__xludf.DUMMYFUNCTION("IMPORTRANGE(""https://docs.google.com/spreadsheets/d/1IYY_tgx_IHuhSq3AJ5eI5OnqOPBNLWSHKh2a30DoXe8/edit?usp=sharing"",""ปัตตานี!I26"")"),0)</f>
        <v>0</v>
      </c>
      <c r="J86" s="210">
        <f ca="1">IFERROR(__xludf.DUMMYFUNCTION("IMPORTRANGE(""https://docs.google.com/spreadsheets/d/1IYY_tgx_IHuhSq3AJ5eI5OnqOPBNLWSHKh2a30DoXe8/edit?usp=sharing"",""ปัตตานี!J26"")"),0)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IFERROR(__xludf.DUMMYFUNCTION("IMPORTRANGE(""https://docs.google.com/spreadsheets/d/1IYY_tgx_IHuhSq3AJ5eI5OnqOPBNLWSHKh2a30DoXe8/edit?usp=sharing"",""ปัตตานี!I27"")"),0)</f>
        <v>0</v>
      </c>
      <c r="J87" s="210">
        <f ca="1">IFERROR(__xludf.DUMMYFUNCTION("IMPORTRANGE(""https://docs.google.com/spreadsheets/d/1IYY_tgx_IHuhSq3AJ5eI5OnqOPBNLWSHKh2a30DoXe8/edit?usp=sharing"",""ปัตตานี!J27"")"),0)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IFERROR(__xludf.DUMMYFUNCTION("IMPORTRANGE(""https://docs.google.com/spreadsheets/d/1IYY_tgx_IHuhSq3AJ5eI5OnqOPBNLWSHKh2a30DoXe8/edit?usp=sharing"",""ปัตตานี!I28"")"),0)</f>
        <v>0</v>
      </c>
      <c r="J88" s="210">
        <f ca="1">IFERROR(__xludf.DUMMYFUNCTION("IMPORTRANGE(""https://docs.google.com/spreadsheets/d/1IYY_tgx_IHuhSq3AJ5eI5OnqOPBNLWSHKh2a30DoXe8/edit?usp=sharing"",""ปัตตานี!J28"")"),0)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IFERROR(__xludf.DUMMYFUNCTION("IMPORTRANGE(""https://docs.google.com/spreadsheets/d/1IYY_tgx_IHuhSq3AJ5eI5OnqOPBNLWSHKh2a30DoXe8/edit?usp=sharing"",""ปัตตานี!J29"")"),0)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IFERROR(__xludf.DUMMYFUNCTION("IMPORTRANGE(""https://docs.google.com/spreadsheets/d/1IYY_tgx_IHuhSq3AJ5eI5OnqOPBNLWSHKh2a30DoXe8/edit?usp=sharing"",""ปัตตานี!J30"")"),0)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IFERROR(__xludf.DUMMYFUNCTION("IMPORTRANGE(""https://docs.google.com/spreadsheets/d/1IYY_tgx_IHuhSq3AJ5eI5OnqOPBNLWSHKh2a30DoXe8/edit?usp=sharing"",""ปัตตานี!I32"")"),0)</f>
        <v>0</v>
      </c>
      <c r="J92" s="146">
        <f ca="1">IFERROR(__xludf.DUMMYFUNCTION("IMPORTRANGE(""https://docs.google.com/spreadsheets/d/1IYY_tgx_IHuhSq3AJ5eI5OnqOPBNLWSHKh2a30DoXe8/edit?usp=sharing"",""ปัตตานี!J32"")"),0)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IFERROR(__xludf.DUMMYFUNCTION("IMPORTRANGE(""https://docs.google.com/spreadsheets/d/1IYY_tgx_IHuhSq3AJ5eI5OnqOPBNLWSHKh2a30DoXe8/edit?usp=sharing"",""ปัตตานี!I33"")"),0)</f>
        <v>0</v>
      </c>
      <c r="J93" s="146">
        <f ca="1">IFERROR(__xludf.DUMMYFUNCTION("IMPORTRANGE(""https://docs.google.com/spreadsheets/d/1IYY_tgx_IHuhSq3AJ5eI5OnqOPBNLWSHKh2a30DoXe8/edit?usp=sharing"",""ปัตตานี!J33"")"),0)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IFERROR(__xludf.DUMMYFUNCTION("IMPORTRANGE(""https://docs.google.com/spreadsheets/d/1Yj_ptqi66GCucihVvJfMjLAmec39IyEx_6qawtMGysU/edit?usp=sharing"",""สบก!AR86"")"),0)</f>
        <v>0</v>
      </c>
      <c r="N98" s="174">
        <f ca="1">IFERROR(__xludf.DUMMYFUNCTION("IMPORTRANGE(""https://docs.google.com/spreadsheets/d/1Yj_ptqi66GCucihVvJfMjLAmec39IyEx_6qawtMGysU/edit?usp=sharing"",""สบก!AS86"")"),0)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IFERROR(__xludf.DUMMYFUNCTION("IMPORTRANGE(""https://docs.google.com/spreadsheets/d/1Yj_ptqi66GCucihVvJfMjLAmec39IyEx_6qawtMGysU/edit?usp=sharing"",""สบก!AN86"")"),0)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IFERROR(__xludf.DUMMYFUNCTION("IMPORTRANGE(""https://docs.google.com/spreadsheets/d/1Yj_ptqi66GCucihVvJfMjLAmec39IyEx_6qawtMGysU/edit?usp=sharing"",""สบก!AO86"")"),0)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IFERROR(__xludf.DUMMYFUNCTION("IMPORTRANGE(""https://docs.google.com/spreadsheets/d/1Yj_ptqi66GCucihVvJfMjLAmec39IyEx_6qawtMGysU/edit?usp=sharing"",""สบก!AP86"")"),0)</f>
        <v>0</v>
      </c>
      <c r="M102" s="101"/>
      <c r="N102" s="91">
        <f ca="1">IFERROR(__xludf.DUMMYFUNCTION("IMPORTRANGE(""https://docs.google.com/spreadsheets/d/1Yj_ptqi66GCucihVvJfMjLAmec39IyEx_6qawtMGysU/edit?usp=sharing"",""สบก!AT86"")"),0)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IFERROR(__xludf.DUMMYFUNCTION("IMPORTRANGE(""https://docs.google.com/spreadsheets/d/1IYY_tgx_IHuhSq3AJ5eI5OnqOPBNLWSHKh2a30DoXe8/edit?usp=sharing"",""ปัตตานี!J39"")"),0)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IFERROR(__xludf.DUMMYFUNCTION("IMPORTRANGE(""https://docs.google.com/spreadsheets/d/1IYY_tgx_IHuhSq3AJ5eI5OnqOPBNLWSHKh2a30DoXe8/edit?usp=sharing"",""ปัตตานี!J40"")"),0)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IFERROR(__xludf.DUMMYFUNCTION("IMPORTRANGE(""https://docs.google.com/spreadsheets/d/1IYY_tgx_IHuhSq3AJ5eI5OnqOPBNLWSHKh2a30DoXe8/edit?usp=sharing"",""ปัตตานี!J41"")"),0)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IFERROR(__xludf.DUMMYFUNCTION("IMPORTRANGE(""https://docs.google.com/spreadsheets/d/1IYY_tgx_IHuhSq3AJ5eI5OnqOPBNLWSHKh2a30DoXe8/edit?usp=sharing"",""ปัตตานี!J42"")"),0)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IFERROR(__xludf.DUMMYFUNCTION("IMPORTRANGE(""https://docs.google.com/spreadsheets/d/1IYY_tgx_IHuhSq3AJ5eI5OnqOPBNLWSHKh2a30DoXe8/edit?usp=sharing"",""ปัตตานี!I43"")"),0)</f>
        <v>0</v>
      </c>
      <c r="J108" s="210">
        <f ca="1">IFERROR(__xludf.DUMMYFUNCTION("IMPORTRANGE(""https://docs.google.com/spreadsheets/d/1IYY_tgx_IHuhSq3AJ5eI5OnqOPBNLWSHKh2a30DoXe8/edit?usp=sharing"",""ปัตตานี!J43"")"),0)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IFERROR(__xludf.DUMMYFUNCTION("IMPORTRANGE(""https://docs.google.com/spreadsheets/d/1IYY_tgx_IHuhSq3AJ5eI5OnqOPBNLWSHKh2a30DoXe8/edit?usp=sharing"",""ปัตตานี!I44"")"),0)</f>
        <v>0</v>
      </c>
      <c r="J109" s="210">
        <f ca="1">IFERROR(__xludf.DUMMYFUNCTION("IMPORTRANGE(""https://docs.google.com/spreadsheets/d/1IYY_tgx_IHuhSq3AJ5eI5OnqOPBNLWSHKh2a30DoXe8/edit?usp=sharing"",""ปัตตานี!J44"")"),0)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IFERROR(__xludf.DUMMYFUNCTION("IMPORTRANGE(""https://docs.google.com/spreadsheets/d/1IYY_tgx_IHuhSq3AJ5eI5OnqOPBNLWSHKh2a30DoXe8/edit?usp=sharing"",""ปัตตานี!I45"")"),0)</f>
        <v>0</v>
      </c>
      <c r="J110" s="210">
        <f ca="1">IFERROR(__xludf.DUMMYFUNCTION("IMPORTRANGE(""https://docs.google.com/spreadsheets/d/1IYY_tgx_IHuhSq3AJ5eI5OnqOPBNLWSHKh2a30DoXe8/edit?usp=sharing"",""ปัตตานี!J45"")"),0)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IFERROR(__xludf.DUMMYFUNCTION("IMPORTRANGE(""https://docs.google.com/spreadsheets/d/1IYY_tgx_IHuhSq3AJ5eI5OnqOPBNLWSHKh2a30DoXe8/edit?usp=sharing"",""ปัตตานี!I46"")"),0)</f>
        <v>0</v>
      </c>
      <c r="J111" s="210">
        <f ca="1">IFERROR(__xludf.DUMMYFUNCTION("IMPORTRANGE(""https://docs.google.com/spreadsheets/d/1IYY_tgx_IHuhSq3AJ5eI5OnqOPBNLWSHKh2a30DoXe8/edit?usp=sharing"",""ปัตตานี!J46"")"),0)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IFERROR(__xludf.DUMMYFUNCTION("IMPORTRANGE(""https://docs.google.com/spreadsheets/d/1IYY_tgx_IHuhSq3AJ5eI5OnqOPBNLWSHKh2a30DoXe8/edit?usp=sharing"",""ปัตตานี!I47"")"),0)</f>
        <v>0</v>
      </c>
      <c r="J112" s="210">
        <f ca="1">IFERROR(__xludf.DUMMYFUNCTION("IMPORTRANGE(""https://docs.google.com/spreadsheets/d/1IYY_tgx_IHuhSq3AJ5eI5OnqOPBNLWSHKh2a30DoXe8/edit?usp=sharing"",""ปัตตานี!J47"")"),0)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IFERROR(__xludf.DUMMYFUNCTION("IMPORTRANGE(""https://docs.google.com/spreadsheets/d/1IYY_tgx_IHuhSq3AJ5eI5OnqOPBNLWSHKh2a30DoXe8/edit?usp=sharing"",""ปัตตานี!I48"")"),0)</f>
        <v>0</v>
      </c>
      <c r="J113" s="210">
        <f ca="1">IFERROR(__xludf.DUMMYFUNCTION("IMPORTRANGE(""https://docs.google.com/spreadsheets/d/1IYY_tgx_IHuhSq3AJ5eI5OnqOPBNLWSHKh2a30DoXe8/edit?usp=sharing"",""ปัตตานี!J48"")"),0)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IFERROR(__xludf.DUMMYFUNCTION("IMPORTRANGE(""https://docs.google.com/spreadsheets/d/1IYY_tgx_IHuhSq3AJ5eI5OnqOPBNLWSHKh2a30DoXe8/edit?usp=sharing"",""ปัตตานี!J49"")"),0)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IFERROR(__xludf.DUMMYFUNCTION("IMPORTRANGE(""https://docs.google.com/spreadsheets/d/1IYY_tgx_IHuhSq3AJ5eI5OnqOPBNLWSHKh2a30DoXe8/edit?usp=sharing"",""ปัตตานี!J50"")"),0)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IFERROR(__xludf.DUMMYFUNCTION("IMPORTRANGE(""https://docs.google.com/spreadsheets/d/1IYY_tgx_IHuhSq3AJ5eI5OnqOPBNLWSHKh2a30DoXe8/edit?usp=sharing"",""ปัตตานี!I52"")"),0)</f>
        <v>0</v>
      </c>
      <c r="J117" s="146">
        <f ca="1">IFERROR(__xludf.DUMMYFUNCTION("IMPORTRANGE(""https://docs.google.com/spreadsheets/d/1IYY_tgx_IHuhSq3AJ5eI5OnqOPBNLWSHKh2a30DoXe8/edit?usp=sharing"",""ปัตตานี!J52"")"),0)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0</v>
      </c>
      <c r="M118" s="156">
        <f t="shared" ca="1" si="58"/>
        <v>0</v>
      </c>
      <c r="N118" s="156">
        <f t="shared" ca="1" si="58"/>
        <v>0</v>
      </c>
      <c r="O118" s="155">
        <f t="shared" ref="O118:O120" ca="1" si="59">IF(L118&gt;0,N118*100/L118,0)</f>
        <v>0</v>
      </c>
      <c r="P118" s="155">
        <f t="shared" ref="P118:P120" ca="1" si="60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0</v>
      </c>
      <c r="M120" s="161">
        <f t="shared" ca="1" si="62"/>
        <v>0</v>
      </c>
      <c r="N120" s="161">
        <f t="shared" ca="1" si="62"/>
        <v>0</v>
      </c>
      <c r="O120" s="160">
        <f t="shared" ca="1" si="59"/>
        <v>0</v>
      </c>
      <c r="P120" s="160">
        <f t="shared" ca="1" si="60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IFERROR(__xludf.DUMMYFUNCTION("IMPORTRANGE(""https://docs.google.com/spreadsheets/d/1Yj_ptqi66GCucihVvJfMjLAmec39IyEx_6qawtMGysU/edit?usp=sharing"",""สบก!BA86"")"),0)</f>
        <v>0</v>
      </c>
      <c r="N122" s="174">
        <f ca="1">IFERROR(__xludf.DUMMYFUNCTION("IMPORTRANGE(""https://docs.google.com/spreadsheets/d/1Yj_ptqi66GCucihVvJfMjLAmec39IyEx_6qawtMGysU/edit?usp=sharing"",""สบก!BB86"")"),0)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IFERROR(__xludf.DUMMYFUNCTION("IMPORTRANGE(""https://docs.google.com/spreadsheets/d/1Yj_ptqi66GCucihVvJfMjLAmec39IyEx_6qawtMGysU/edit?usp=sharing"",""สบก!AW86"")"),0)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IFERROR(__xludf.DUMMYFUNCTION("IMPORTRANGE(""https://docs.google.com/spreadsheets/d/1Yj_ptqi66GCucihVvJfMjLAmec39IyEx_6qawtMGysU/edit?usp=sharing"",""สบก!AX86"")"),0)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IFERROR(__xludf.DUMMYFUNCTION("IMPORTRANGE(""https://docs.google.com/spreadsheets/d/1Yj_ptqi66GCucihVvJfMjLAmec39IyEx_6qawtMGysU/edit?usp=sharing"",""สบก!AY86"")"),0)</f>
        <v>0</v>
      </c>
      <c r="M126" s="101"/>
      <c r="N126" s="91">
        <f ca="1">IFERROR(__xludf.DUMMYFUNCTION("IMPORTRANGE(""https://docs.google.com/spreadsheets/d/1Yj_ptqi66GCucihVvJfMjLAmec39IyEx_6qawtMGysU/edit?usp=sharing"",""สบก!BC86"")"),0)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250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IFERROR(__xludf.DUMMYFUNCTION("IMPORTRANGE(""https://docs.google.com/spreadsheets/d/1IYY_tgx_IHuhSq3AJ5eI5OnqOPBNLWSHKh2a30DoXe8/edit?usp=sharing"",""ปัตตานี!J58"")"),0)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IFERROR(__xludf.DUMMYFUNCTION("IMPORTRANGE(""https://docs.google.com/spreadsheets/d/1IYY_tgx_IHuhSq3AJ5eI5OnqOPBNLWSHKh2a30DoXe8/edit?usp=sharing"",""ปัตตานี!J59"")"),0)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IFERROR(__xludf.DUMMYFUNCTION("IMPORTRANGE(""https://docs.google.com/spreadsheets/d/1IYY_tgx_IHuhSq3AJ5eI5OnqOPBNLWSHKh2a30DoXe8/edit?usp=sharing"",""ปัตตานี!J60"")"),0)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IFERROR(__xludf.DUMMYFUNCTION("IMPORTRANGE(""https://docs.google.com/spreadsheets/d/1IYY_tgx_IHuhSq3AJ5eI5OnqOPBNLWSHKh2a30DoXe8/edit?usp=sharing"",""ปัตตานี!J61"")"),0)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IFERROR(__xludf.DUMMYFUNCTION("IMPORTRANGE(""https://docs.google.com/spreadsheets/d/1IYY_tgx_IHuhSq3AJ5eI5OnqOPBNLWSHKh2a30DoXe8/edit?usp=sharing"",""ปัตตานี!I62"")"),0)</f>
        <v>0</v>
      </c>
      <c r="J132" s="210">
        <f ca="1">IFERROR(__xludf.DUMMYFUNCTION("IMPORTRANGE(""https://docs.google.com/spreadsheets/d/1IYY_tgx_IHuhSq3AJ5eI5OnqOPBNLWSHKh2a30DoXe8/edit?usp=sharing"",""ปัตตานี!J62"")"),0)</f>
        <v>0</v>
      </c>
      <c r="K132" s="230">
        <f t="shared" ref="K132:K133" ca="1" si="63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IFERROR(__xludf.DUMMYFUNCTION("IMPORTRANGE(""https://docs.google.com/spreadsheets/d/1IYY_tgx_IHuhSq3AJ5eI5OnqOPBNLWSHKh2a30DoXe8/edit?usp=sharing"",""ปัตตานี!I63"")"),0)</f>
        <v>0</v>
      </c>
      <c r="J133" s="210">
        <f ca="1">IFERROR(__xludf.DUMMYFUNCTION("IMPORTRANGE(""https://docs.google.com/spreadsheets/d/1IYY_tgx_IHuhSq3AJ5eI5OnqOPBNLWSHKh2a30DoXe8/edit?usp=sharing"",""ปัตตานี!J63"")"),0)</f>
        <v>0</v>
      </c>
      <c r="K133" s="230">
        <f t="shared" ca="1" si="63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IFERROR(__xludf.DUMMYFUNCTION("IMPORTRANGE(""https://docs.google.com/spreadsheets/d/1IYY_tgx_IHuhSq3AJ5eI5OnqOPBNLWSHKh2a30DoXe8/edit?usp=sharing"",""ปัตตานี!J64"")"),0)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IFERROR(__xludf.DUMMYFUNCTION("IMPORTRANGE(""https://docs.google.com/spreadsheets/d/1IYY_tgx_IHuhSq3AJ5eI5OnqOPBNLWSHKh2a30DoXe8/edit?usp=sharing"",""ปัตตานี!J65"")"),0)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IFERROR(__xludf.DUMMYFUNCTION("IMPORTRANGE(""https://docs.google.com/spreadsheets/d/1IYY_tgx_IHuhSq3AJ5eI5OnqOPBNLWSHKh2a30DoXe8/edit?usp=sharing"",""ปัตตานี!I68"")"),15)</f>
        <v>15</v>
      </c>
      <c r="J138" s="273">
        <f ca="1">IFERROR(__xludf.DUMMYFUNCTION("IMPORTRANGE(""https://docs.google.com/spreadsheets/d/1IYY_tgx_IHuhSq3AJ5eI5OnqOPBNLWSHKh2a30DoXe8/edit?usp=sharing"",""ปัตตานี!J68"")"),15)</f>
        <v>15</v>
      </c>
      <c r="K138" s="274">
        <f ca="1">IF(I138&gt;0,J138*100/I138,0)</f>
        <v>100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376600</v>
      </c>
      <c r="M140" s="156">
        <f t="shared" ca="1" si="64"/>
        <v>295125</v>
      </c>
      <c r="N140" s="156">
        <f t="shared" ca="1" si="64"/>
        <v>261074.41</v>
      </c>
      <c r="O140" s="155">
        <f t="shared" ref="O140:O142" ca="1" si="65">IF(L140&gt;0,N140*100/L140,0)</f>
        <v>69.324060010621352</v>
      </c>
      <c r="P140" s="155">
        <f t="shared" ref="P140:P142" ca="1" si="66">IF(M140&gt;0,N140*100/M140,0)</f>
        <v>88.462315967810255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376600</v>
      </c>
      <c r="M142" s="161">
        <f t="shared" ca="1" si="68"/>
        <v>295125</v>
      </c>
      <c r="N142" s="161">
        <f t="shared" ca="1" si="68"/>
        <v>261074.41</v>
      </c>
      <c r="O142" s="160">
        <f t="shared" ca="1" si="65"/>
        <v>69.324060010621352</v>
      </c>
      <c r="P142" s="160">
        <f t="shared" ca="1" si="66"/>
        <v>88.462315967810255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376600</v>
      </c>
      <c r="M144" s="173">
        <f ca="1">IFERROR(__xludf.DUMMYFUNCTION("IMPORTRANGE(""https://docs.google.com/spreadsheets/d/1Yj_ptqi66GCucihVvJfMjLAmec39IyEx_6qawtMGysU/edit?usp=sharing"",""สบก!BJ86"")"),295125)</f>
        <v>295125</v>
      </c>
      <c r="N144" s="174">
        <f ca="1">IFERROR(__xludf.DUMMYFUNCTION("IMPORTRANGE(""https://docs.google.com/spreadsheets/d/1Yj_ptqi66GCucihVvJfMjLAmec39IyEx_6qawtMGysU/edit?usp=sharing"",""สบก!BK86"")"),261074.41)</f>
        <v>261074.41</v>
      </c>
      <c r="O144" s="175">
        <f ca="1">IF(L144&gt;0,N144*100/L144,0)</f>
        <v>69.324060010621352</v>
      </c>
      <c r="P144" s="175">
        <f ca="1">IF(M144&gt;0,N144*100/M144,0)</f>
        <v>88.462315967810255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IFERROR(__xludf.DUMMYFUNCTION("IMPORTRANGE(""https://docs.google.com/spreadsheets/d/1Yj_ptqi66GCucihVvJfMjLAmec39IyEx_6qawtMGysU/edit?usp=sharing"",""สบก!BF86"")"),318000)</f>
        <v>318000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IFERROR(__xludf.DUMMYFUNCTION("IMPORTRANGE(""https://docs.google.com/spreadsheets/d/1Yj_ptqi66GCucihVvJfMjLAmec39IyEx_6qawtMGysU/edit?usp=sharing"",""สบก!BG86"")"),58600)</f>
        <v>58600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IFERROR(__xludf.DUMMYFUNCTION("IMPORTRANGE(""https://docs.google.com/spreadsheets/d/1Yj_ptqi66GCucihVvJfMjLAmec39IyEx_6qawtMGysU/edit?usp=sharing"",""สบก!BH86"")"),0)</f>
        <v>0</v>
      </c>
      <c r="M148" s="101"/>
      <c r="N148" s="91">
        <f ca="1">IFERROR(__xludf.DUMMYFUNCTION("IMPORTRANGE(""https://docs.google.com/spreadsheets/d/1Yj_ptqi66GCucihVvJfMjLAmec39IyEx_6qawtMGysU/edit?usp=sharing"",""สบก!BL86"")"),0)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IFERROR(__xludf.DUMMYFUNCTION("IMPORTRANGE(""https://docs.google.com/spreadsheets/d/1IYY_tgx_IHuhSq3AJ5eI5OnqOPBNLWSHKh2a30DoXe8/edit?usp=sharing"",""ปัตตานี!I74"")"),4)</f>
        <v>4</v>
      </c>
      <c r="J149" s="281">
        <f ca="1">IFERROR(__xludf.DUMMYFUNCTION("IMPORTRANGE(""https://docs.google.com/spreadsheets/d/1IYY_tgx_IHuhSq3AJ5eI5OnqOPBNLWSHKh2a30DoXe8/edit?usp=sharing"",""ปัตตานี!J74"")"),1)</f>
        <v>1</v>
      </c>
      <c r="K149" s="282">
        <f ca="1">IF(I149&gt;0,J149*100/I149,0)</f>
        <v>25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IFERROR(__xludf.DUMMYFUNCTION("IMPORTRANGE(""https://docs.google.com/spreadsheets/d/1IYY_tgx_IHuhSq3AJ5eI5OnqOPBNLWSHKh2a30DoXe8/edit?usp=sharing"",""ปัตตานี!J79"")"),0)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IFERROR(__xludf.DUMMYFUNCTION("IMPORTRANGE(""https://docs.google.com/spreadsheets/d/1IYY_tgx_IHuhSq3AJ5eI5OnqOPBNLWSHKh2a30DoXe8/edit?usp=sharing"",""ปัตตานี!J80"")"),1)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IFERROR(__xludf.DUMMYFUNCTION("IMPORTRANGE(""https://docs.google.com/spreadsheets/d/1IYY_tgx_IHuhSq3AJ5eI5OnqOPBNLWSHKh2a30DoXe8/edit?usp=sharing"",""ปัตตานี!J81"")"),1)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IFERROR(__xludf.DUMMYFUNCTION("IMPORTRANGE(""https://docs.google.com/spreadsheets/d/1IYY_tgx_IHuhSq3AJ5eI5OnqOPBNLWSHKh2a30DoXe8/edit?usp=sharing"",""ปัตตานี!J82"")"),1)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IFERROR(__xludf.DUMMYFUNCTION("IMPORTRANGE(""https://docs.google.com/spreadsheets/d/1IYY_tgx_IHuhSq3AJ5eI5OnqOPBNLWSHKh2a30DoXe8/edit?usp=sharing"",""ปัตตานี!I83"")"),4)</f>
        <v>4</v>
      </c>
      <c r="J158" s="195">
        <f ca="1">IFERROR(__xludf.DUMMYFUNCTION("IMPORTRANGE(""https://docs.google.com/spreadsheets/d/1IYY_tgx_IHuhSq3AJ5eI5OnqOPBNLWSHKh2a30DoXe8/edit?usp=sharing"",""ปัตตานี!J83"")"),1)</f>
        <v>1</v>
      </c>
      <c r="K158" s="167">
        <f ca="1">IF(I158&gt;0,J158*100/I158,0)</f>
        <v>25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IFERROR(__xludf.DUMMYFUNCTION("IMPORTRANGE(""https://docs.google.com/spreadsheets/d/1IYY_tgx_IHuhSq3AJ5eI5OnqOPBNLWSHKh2a30DoXe8/edit?usp=sharing"",""ปัตตานี!J84"")"),55)</f>
        <v>55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IFERROR(__xludf.DUMMYFUNCTION("IMPORTRANGE(""https://docs.google.com/spreadsheets/d/1IYY_tgx_IHuhSq3AJ5eI5OnqOPBNLWSHKh2a30DoXe8/edit?usp=sharing"",""ปัตตานี!J85"")"),55)</f>
        <v>55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IFERROR(__xludf.DUMMYFUNCTION("IMPORTRANGE(""https://docs.google.com/spreadsheets/d/1IYY_tgx_IHuhSq3AJ5eI5OnqOPBNLWSHKh2a30DoXe8/edit?usp=sharing"",""ปัตตานี!J86"")"),0)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IFERROR(__xludf.DUMMYFUNCTION("IMPORTRANGE(""https://docs.google.com/spreadsheets/d/1IYY_tgx_IHuhSq3AJ5eI5OnqOPBNLWSHKh2a30DoXe8/edit?usp=sharing"",""ปัตตานี!J87"")"),0)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IFERROR(__xludf.DUMMYFUNCTION("IMPORTRANGE(""https://docs.google.com/spreadsheets/d/1IYY_tgx_IHuhSq3AJ5eI5OnqOPBNLWSHKh2a30DoXe8/edit?usp=sharing"",""ปัตตานี!J88"")"),0)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IFERROR(__xludf.DUMMYFUNCTION("IMPORTRANGE(""https://docs.google.com/spreadsheets/d/1IYY_tgx_IHuhSq3AJ5eI5OnqOPBNLWSHKh2a30DoXe8/edit?usp=sharing"",""ปัตตานี!I89"")"),2)</f>
        <v>2</v>
      </c>
      <c r="J164" s="290">
        <f ca="1">IFERROR(__xludf.DUMMYFUNCTION("IMPORTRANGE(""https://docs.google.com/spreadsheets/d/1IYY_tgx_IHuhSq3AJ5eI5OnqOPBNLWSHKh2a30DoXe8/edit?usp=sharing"",""ปัตตานี!J89"")"),2)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IFERROR(__xludf.DUMMYFUNCTION("IMPORTRANGE(""https://docs.google.com/spreadsheets/d/1IYY_tgx_IHuhSq3AJ5eI5OnqOPBNLWSHKh2a30DoXe8/edit?usp=sharing"",""ปัตตานี!J94"")"),0)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IFERROR(__xludf.DUMMYFUNCTION("IMPORTRANGE(""https://docs.google.com/spreadsheets/d/1IYY_tgx_IHuhSq3AJ5eI5OnqOPBNLWSHKh2a30DoXe8/edit?usp=sharing"",""ปัตตานี!J95"")"),1)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IFERROR(__xludf.DUMMYFUNCTION("IMPORTRANGE(""https://docs.google.com/spreadsheets/d/1IYY_tgx_IHuhSq3AJ5eI5OnqOPBNLWSHKh2a30DoXe8/edit?usp=sharing"",""ปัตตานี!J96"")"),1)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IFERROR(__xludf.DUMMYFUNCTION("IMPORTRANGE(""https://docs.google.com/spreadsheets/d/1IYY_tgx_IHuhSq3AJ5eI5OnqOPBNLWSHKh2a30DoXe8/edit?usp=sharing"",""ปัตตานี!J97"")"),1)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IFERROR(__xludf.DUMMYFUNCTION("IMPORTRANGE(""https://docs.google.com/spreadsheets/d/1IYY_tgx_IHuhSq3AJ5eI5OnqOPBNLWSHKh2a30DoXe8/edit?usp=sharing"",""ปัตตานี!I98"")"),2)</f>
        <v>2</v>
      </c>
      <c r="J173" s="195">
        <f ca="1">IFERROR(__xludf.DUMMYFUNCTION("IMPORTRANGE(""https://docs.google.com/spreadsheets/d/1IYY_tgx_IHuhSq3AJ5eI5OnqOPBNLWSHKh2a30DoXe8/edit?usp=sharing"",""ปัตตานี!J98"")"),2)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IFERROR(__xludf.DUMMYFUNCTION("IMPORTRANGE(""https://docs.google.com/spreadsheets/d/1IYY_tgx_IHuhSq3AJ5eI5OnqOPBNLWSHKh2a30DoXe8/edit?usp=sharing"",""ปัตตานี!J99"")"),0)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IFERROR(__xludf.DUMMYFUNCTION("IMPORTRANGE(""https://docs.google.com/spreadsheets/d/1IYY_tgx_IHuhSq3AJ5eI5OnqOPBNLWSHKh2a30DoXe8/edit?usp=sharing"",""ปัตตานี!J100"")"),0)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IFERROR(__xludf.DUMMYFUNCTION("IMPORTRANGE(""https://docs.google.com/spreadsheets/d/1IYY_tgx_IHuhSq3AJ5eI5OnqOPBNLWSHKh2a30DoXe8/edit?usp=sharing"",""ปัตตานี!I101"")"),0)</f>
        <v>0</v>
      </c>
      <c r="J176" s="290">
        <f ca="1">IFERROR(__xludf.DUMMYFUNCTION("IMPORTRANGE(""https://docs.google.com/spreadsheets/d/1IYY_tgx_IHuhSq3AJ5eI5OnqOPBNLWSHKh2a30DoXe8/edit?usp=sharing"",""ปัตตานี!J101"")"),0)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IFERROR(__xludf.DUMMYFUNCTION("IMPORTRANGE(""https://docs.google.com/spreadsheets/d/1IYY_tgx_IHuhSq3AJ5eI5OnqOPBNLWSHKh2a30DoXe8/edit?usp=sharing"",""ปัตตานี!J106"")"),0)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IFERROR(__xludf.DUMMYFUNCTION("IMPORTRANGE(""https://docs.google.com/spreadsheets/d/1IYY_tgx_IHuhSq3AJ5eI5OnqOPBNLWSHKh2a30DoXe8/edit?usp=sharing"",""ปัตตานี!J107"")"),0)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IFERROR(__xludf.DUMMYFUNCTION("IMPORTRANGE(""https://docs.google.com/spreadsheets/d/1IYY_tgx_IHuhSq3AJ5eI5OnqOPBNLWSHKh2a30DoXe8/edit?usp=sharing"",""ปัตตานี!J108"")"),0)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IFERROR(__xludf.DUMMYFUNCTION("IMPORTRANGE(""https://docs.google.com/spreadsheets/d/1IYY_tgx_IHuhSq3AJ5eI5OnqOPBNLWSHKh2a30DoXe8/edit?usp=sharing"",""ปัตตานี!J109"")"),0)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IFERROR(__xludf.DUMMYFUNCTION("IMPORTRANGE(""https://docs.google.com/spreadsheets/d/1IYY_tgx_IHuhSq3AJ5eI5OnqOPBNLWSHKh2a30DoXe8/edit?usp=sharing"",""ปัตตานี!I110"")"),0)</f>
        <v>0</v>
      </c>
      <c r="J185" s="210">
        <f ca="1">IFERROR(__xludf.DUMMYFUNCTION("IMPORTRANGE(""https://docs.google.com/spreadsheets/d/1IYY_tgx_IHuhSq3AJ5eI5OnqOPBNLWSHKh2a30DoXe8/edit?usp=sharing"",""ปัตตานี!J110"")"),0)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IFERROR(__xludf.DUMMYFUNCTION("IMPORTRANGE(""https://docs.google.com/spreadsheets/d/1IYY_tgx_IHuhSq3AJ5eI5OnqOPBNLWSHKh2a30DoXe8/edit?usp=sharing"",""ปัตตานี!I111"")"),0)</f>
        <v>0</v>
      </c>
      <c r="J186" s="210">
        <f ca="1">IFERROR(__xludf.DUMMYFUNCTION("IMPORTRANGE(""https://docs.google.com/spreadsheets/d/1IYY_tgx_IHuhSq3AJ5eI5OnqOPBNLWSHKh2a30DoXe8/edit?usp=sharing"",""ปัตตานี!J111"")"),0)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IFERROR(__xludf.DUMMYFUNCTION("IMPORTRANGE(""https://docs.google.com/spreadsheets/d/1IYY_tgx_IHuhSq3AJ5eI5OnqOPBNLWSHKh2a30DoXe8/edit?usp=sharing"",""ปัตตานี!J112"")"),0)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IFERROR(__xludf.DUMMYFUNCTION("IMPORTRANGE(""https://docs.google.com/spreadsheets/d/1IYY_tgx_IHuhSq3AJ5eI5OnqOPBNLWSHKh2a30DoXe8/edit?usp=sharing"",""ปัตตานี!J113"")"),0)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IFERROR(__xludf.DUMMYFUNCTION("IMPORTRANGE(""https://docs.google.com/spreadsheets/d/1IYY_tgx_IHuhSq3AJ5eI5OnqOPBNLWSHKh2a30DoXe8/edit?usp=sharing"",""ปัตตานี!I114"")"),12800)</f>
        <v>12800</v>
      </c>
      <c r="J189" s="290">
        <f ca="1">IFERROR(__xludf.DUMMYFUNCTION("IMPORTRANGE(""https://docs.google.com/spreadsheets/d/1IYY_tgx_IHuhSq3AJ5eI5OnqOPBNLWSHKh2a30DoXe8/edit?usp=sharing"",""ปัตตานี!J114"")"),0)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IFERROR(__xludf.DUMMYFUNCTION("IMPORTRANGE(""https://docs.google.com/spreadsheets/d/1IYY_tgx_IHuhSq3AJ5eI5OnqOPBNLWSHKh2a30DoXe8/edit?usp=sharing"",""ปัตตานี!J119"")"),0)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IFERROR(__xludf.DUMMYFUNCTION("IMPORTRANGE(""https://docs.google.com/spreadsheets/d/1IYY_tgx_IHuhSq3AJ5eI5OnqOPBNLWSHKh2a30DoXe8/edit?usp=sharing"",""ปัตตานี!J120"")"),1)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IFERROR(__xludf.DUMMYFUNCTION("IMPORTRANGE(""https://docs.google.com/spreadsheets/d/1IYY_tgx_IHuhSq3AJ5eI5OnqOPBNLWSHKh2a30DoXe8/edit?usp=sharing"",""ปัตตานี!J121"")"),1)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IFERROR(__xludf.DUMMYFUNCTION("IMPORTRANGE(""https://docs.google.com/spreadsheets/d/1IYY_tgx_IHuhSq3AJ5eI5OnqOPBNLWSHKh2a30DoXe8/edit?usp=sharing"",""ปัตตานี!J122"")"),1)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IFERROR(__xludf.DUMMYFUNCTION("IMPORTRANGE(""https://docs.google.com/spreadsheets/d/1IYY_tgx_IHuhSq3AJ5eI5OnqOPBNLWSHKh2a30DoXe8/edit?usp=sharing"",""ปัตตานี!I124"")"),12800)</f>
        <v>12800</v>
      </c>
      <c r="J199" s="195">
        <f ca="1">IFERROR(__xludf.DUMMYFUNCTION("IMPORTRANGE(""https://docs.google.com/spreadsheets/d/1IYY_tgx_IHuhSq3AJ5eI5OnqOPBNLWSHKh2a30DoXe8/edit?usp=sharing"",""ปัตตานี!J124"")"),0)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IFERROR(__xludf.DUMMYFUNCTION("IMPORTRANGE(""https://docs.google.com/spreadsheets/d/1IYY_tgx_IHuhSq3AJ5eI5OnqOPBNLWSHKh2a30DoXe8/edit?usp=sharing"",""ปัตตานี!I125"")"),12800)</f>
        <v>12800</v>
      </c>
      <c r="J200" s="195">
        <f ca="1">IFERROR(__xludf.DUMMYFUNCTION("IMPORTRANGE(""https://docs.google.com/spreadsheets/d/1IYY_tgx_IHuhSq3AJ5eI5OnqOPBNLWSHKh2a30DoXe8/edit?usp=sharing"",""ปัตตานี!J125"")"),0)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IFERROR(__xludf.DUMMYFUNCTION("IMPORTRANGE(""https://docs.google.com/spreadsheets/d/1IYY_tgx_IHuhSq3AJ5eI5OnqOPBNLWSHKh2a30DoXe8/edit?usp=sharing"",""ปัตตานี!I126"")"),15)</f>
        <v>15</v>
      </c>
      <c r="J201" s="195">
        <f ca="1">IFERROR(__xludf.DUMMYFUNCTION("IMPORTRANGE(""https://docs.google.com/spreadsheets/d/1IYY_tgx_IHuhSq3AJ5eI5OnqOPBNLWSHKh2a30DoXe8/edit?usp=sharing"",""ปัตตานี!J126"")"),15)</f>
        <v>15</v>
      </c>
      <c r="K201" s="167">
        <f t="shared" ca="1" si="70"/>
        <v>100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IFERROR(__xludf.DUMMYFUNCTION("IMPORTRANGE(""https://docs.google.com/spreadsheets/d/1IYY_tgx_IHuhSq3AJ5eI5OnqOPBNLWSHKh2a30DoXe8/edit?usp=sharing"",""ปัตตานี!J127"")"),0)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IFERROR(__xludf.DUMMYFUNCTION("IMPORTRANGE(""https://docs.google.com/spreadsheets/d/1IYY_tgx_IHuhSq3AJ5eI5OnqOPBNLWSHKh2a30DoXe8/edit?usp=sharing"",""ปัตตานี!J128"")"),0)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IFERROR(__xludf.DUMMYFUNCTION("IMPORTRANGE(""https://docs.google.com/spreadsheets/d/1IYY_tgx_IHuhSq3AJ5eI5OnqOPBNLWSHKh2a30DoXe8/edit?usp=sharing"",""ปัตตานี!I129"")"),0)</f>
        <v>0</v>
      </c>
      <c r="J204" s="290">
        <f ca="1">IFERROR(__xludf.DUMMYFUNCTION("IMPORTRANGE(""https://docs.google.com/spreadsheets/d/1IYY_tgx_IHuhSq3AJ5eI5OnqOPBNLWSHKh2a30DoXe8/edit?usp=sharing"",""ปัตตานี!J129"")"),0)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IFERROR(__xludf.DUMMYFUNCTION("IMPORTRANGE(""https://docs.google.com/spreadsheets/d/1IYY_tgx_IHuhSq3AJ5eI5OnqOPBNLWSHKh2a30DoXe8/edit?usp=sharing"",""ปัตตานี!J134"")"),0)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IFERROR(__xludf.DUMMYFUNCTION("IMPORTRANGE(""https://docs.google.com/spreadsheets/d/1IYY_tgx_IHuhSq3AJ5eI5OnqOPBNLWSHKh2a30DoXe8/edit?usp=sharing"",""ปัตตานี!J135"")"),0)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IFERROR(__xludf.DUMMYFUNCTION("IMPORTRANGE(""https://docs.google.com/spreadsheets/d/1IYY_tgx_IHuhSq3AJ5eI5OnqOPBNLWSHKh2a30DoXe8/edit?usp=sharing"",""ปัตตานี!J136"")"),0)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IFERROR(__xludf.DUMMYFUNCTION("IMPORTRANGE(""https://docs.google.com/spreadsheets/d/1IYY_tgx_IHuhSq3AJ5eI5OnqOPBNLWSHKh2a30DoXe8/edit?usp=sharing"",""ปัตตานี!J137"")"),0)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IFERROR(__xludf.DUMMYFUNCTION("IMPORTRANGE(""https://docs.google.com/spreadsheets/d/1IYY_tgx_IHuhSq3AJ5eI5OnqOPBNLWSHKh2a30DoXe8/edit?usp=sharing"",""ปัตตานี!I138"")"),0)</f>
        <v>0</v>
      </c>
      <c r="J213" s="210">
        <f ca="1">IFERROR(__xludf.DUMMYFUNCTION("IMPORTRANGE(""https://docs.google.com/spreadsheets/d/1IYY_tgx_IHuhSq3AJ5eI5OnqOPBNLWSHKh2a30DoXe8/edit?usp=sharing"",""ปัตตานี!J138"")"),0)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IFERROR(__xludf.DUMMYFUNCTION("IMPORTRANGE(""https://docs.google.com/spreadsheets/d/1IYY_tgx_IHuhSq3AJ5eI5OnqOPBNLWSHKh2a30DoXe8/edit?usp=sharing"",""ปัตตานี!I140"")"),0)</f>
        <v>0</v>
      </c>
      <c r="J215" s="210">
        <f ca="1">IFERROR(__xludf.DUMMYFUNCTION("IMPORTRANGE(""https://docs.google.com/spreadsheets/d/1IYY_tgx_IHuhSq3AJ5eI5OnqOPBNLWSHKh2a30DoXe8/edit?usp=sharing"",""ปัตตานี!J140"")"),0)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IFERROR(__xludf.DUMMYFUNCTION("IMPORTRANGE(""https://docs.google.com/spreadsheets/d/1IYY_tgx_IHuhSq3AJ5eI5OnqOPBNLWSHKh2a30DoXe8/edit?usp=sharing"",""ปัตตานี!I141"")"),0)</f>
        <v>0</v>
      </c>
      <c r="J216" s="210">
        <f ca="1">IFERROR(__xludf.DUMMYFUNCTION("IMPORTRANGE(""https://docs.google.com/spreadsheets/d/1IYY_tgx_IHuhSq3AJ5eI5OnqOPBNLWSHKh2a30DoXe8/edit?usp=sharing"",""ปัตตานี!J141"")"),0)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IFERROR(__xludf.DUMMYFUNCTION("IMPORTRANGE(""https://docs.google.com/spreadsheets/d/1IYY_tgx_IHuhSq3AJ5eI5OnqOPBNLWSHKh2a30DoXe8/edit?usp=sharing"",""ปัตตานี!J142"")"),0)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IFERROR(__xludf.DUMMYFUNCTION("IMPORTRANGE(""https://docs.google.com/spreadsheets/d/1IYY_tgx_IHuhSq3AJ5eI5OnqOPBNLWSHKh2a30DoXe8/edit?usp=sharing"",""ปัตตานี!J143"")"),0)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IFERROR(__xludf.DUMMYFUNCTION("IMPORTRANGE(""https://docs.google.com/spreadsheets/d/1IYY_tgx_IHuhSq3AJ5eI5OnqOPBNLWSHKh2a30DoXe8/edit?usp=sharing"",""ปัตตานี!I144"")"),15)</f>
        <v>15</v>
      </c>
      <c r="J219" s="273">
        <f ca="1">IFERROR(__xludf.DUMMYFUNCTION("IMPORTRANGE(""https://docs.google.com/spreadsheets/d/1IYY_tgx_IHuhSq3AJ5eI5OnqOPBNLWSHKh2a30DoXe8/edit?usp=sharing"",""ปัตตานี!J144"")"),15)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IFERROR(__xludf.DUMMYFUNCTION("IMPORTRANGE(""https://docs.google.com/spreadsheets/d/1Yj_ptqi66GCucihVvJfMjLAmec39IyEx_6qawtMGysU/edit?usp=sharing"",""สบก!BS86"")"),21125)</f>
        <v>21125</v>
      </c>
      <c r="N224" s="174">
        <f ca="1">IFERROR(__xludf.DUMMYFUNCTION("IMPORTRANGE(""https://docs.google.com/spreadsheets/d/1Yj_ptqi66GCucihVvJfMjLAmec39IyEx_6qawtMGysU/edit?usp=sharing"",""สบก!BT86"")"),21125)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IFERROR(__xludf.DUMMYFUNCTION("IMPORTRANGE(""https://docs.google.com/spreadsheets/d/1Yj_ptqi66GCucihVvJfMjLAmec39IyEx_6qawtMGysU/edit?usp=sharing"",""สบก!BO86"")"),0)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IFERROR(__xludf.DUMMYFUNCTION("IMPORTRANGE(""https://docs.google.com/spreadsheets/d/1Yj_ptqi66GCucihVvJfMjLAmec39IyEx_6qawtMGysU/edit?usp=sharing"",""สบก!BP86"")"),21125)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IFERROR(__xludf.DUMMYFUNCTION("IMPORTRANGE(""https://docs.google.com/spreadsheets/d/1Yj_ptqi66GCucihVvJfMjLAmec39IyEx_6qawtMGysU/edit?usp=sharing"",""สบก!BQ86"")"),0)</f>
        <v>0</v>
      </c>
      <c r="M228" s="101"/>
      <c r="N228" s="91">
        <f ca="1">IFERROR(__xludf.DUMMYFUNCTION("IMPORTRANGE(""https://docs.google.com/spreadsheets/d/1Yj_ptqi66GCucihVvJfMjLAmec39IyEx_6qawtMGysU/edit?usp=sharing"",""สบก!BU86"")"),0)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IFERROR(__xludf.DUMMYFUNCTION("IMPORTRANGE(""https://docs.google.com/spreadsheets/d/1IYY_tgx_IHuhSq3AJ5eI5OnqOPBNLWSHKh2a30DoXe8/edit?usp=sharing"",""ปัตตานี!I149"")"),15)</f>
        <v>15</v>
      </c>
      <c r="J229" s="273">
        <f ca="1">IFERROR(__xludf.DUMMYFUNCTION("IMPORTRANGE(""https://docs.google.com/spreadsheets/d/1IYY_tgx_IHuhSq3AJ5eI5OnqOPBNLWSHKh2a30DoXe8/edit?usp=sharing"",""ปัตตานี!J149"")"),15)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IFERROR(__xludf.DUMMYFUNCTION("IMPORTRANGE(""https://docs.google.com/spreadsheets/d/1IYY_tgx_IHuhSq3AJ5eI5OnqOPBNLWSHKh2a30DoXe8/edit?usp=sharing"",""ปัตตานี!J151"")"),0)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IFERROR(__xludf.DUMMYFUNCTION("IMPORTRANGE(""https://docs.google.com/spreadsheets/d/1IYY_tgx_IHuhSq3AJ5eI5OnqOPBNLWSHKh2a30DoXe8/edit?usp=sharing"",""ปัตตานี!J152"")"),1)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IFERROR(__xludf.DUMMYFUNCTION("IMPORTRANGE(""https://docs.google.com/spreadsheets/d/1IYY_tgx_IHuhSq3AJ5eI5OnqOPBNLWSHKh2a30DoXe8/edit?usp=sharing"",""ปัตตานี!J153"")"),1)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IFERROR(__xludf.DUMMYFUNCTION("IMPORTRANGE(""https://docs.google.com/spreadsheets/d/1IYY_tgx_IHuhSq3AJ5eI5OnqOPBNLWSHKh2a30DoXe8/edit?usp=sharing"",""ปัตตานี!J154"")"),1)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IFERROR(__xludf.DUMMYFUNCTION("IMPORTRANGE(""https://docs.google.com/spreadsheets/d/1IYY_tgx_IHuhSq3AJ5eI5OnqOPBNLWSHKh2a30DoXe8/edit?usp=sharing"",""ปัตตานี!I155"")"),15)</f>
        <v>15</v>
      </c>
      <c r="J235" s="195">
        <f ca="1">IFERROR(__xludf.DUMMYFUNCTION("IMPORTRANGE(""https://docs.google.com/spreadsheets/d/1IYY_tgx_IHuhSq3AJ5eI5OnqOPBNLWSHKh2a30DoXe8/edit?usp=sharing"",""ปัตตานี!J155"")"),15)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IFERROR(__xludf.DUMMYFUNCTION("IMPORTRANGE(""https://docs.google.com/spreadsheets/d/1IYY_tgx_IHuhSq3AJ5eI5OnqOPBNLWSHKh2a30DoXe8/edit?usp=sharing"",""ปัตตานี!J156"")"),0)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IFERROR(__xludf.DUMMYFUNCTION("IMPORTRANGE(""https://docs.google.com/spreadsheets/d/1IYY_tgx_IHuhSq3AJ5eI5OnqOPBNLWSHKh2a30DoXe8/edit?usp=sharing"",""ปัตตานี!J157"")"),0)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IFERROR(__xludf.DUMMYFUNCTION("IMPORTRANGE(""https://docs.google.com/spreadsheets/d/1IYY_tgx_IHuhSq3AJ5eI5OnqOPBNLWSHKh2a30DoXe8/edit?usp=sharing"",""ปัตตานี!I158"")"),0)</f>
        <v>0</v>
      </c>
      <c r="J238" s="273">
        <f ca="1">IFERROR(__xludf.DUMMYFUNCTION("IMPORTRANGE(""https://docs.google.com/spreadsheets/d/1IYY_tgx_IHuhSq3AJ5eI5OnqOPBNLWSHKh2a30DoXe8/edit?usp=sharing"",""ปัตตานี!J158"")"),0)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IFERROR(__xludf.DUMMYFUNCTION("IMPORTRANGE(""https://docs.google.com/spreadsheets/d/1IYY_tgx_IHuhSq3AJ5eI5OnqOPBNLWSHKh2a30DoXe8/edit?usp=sharing"",""ปัตตานี!J159"")"),"")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IFERROR(__xludf.DUMMYFUNCTION("IMPORTRANGE(""https://docs.google.com/spreadsheets/d/1IYY_tgx_IHuhSq3AJ5eI5OnqOPBNLWSHKh2a30DoXe8/edit?usp=sharing"",""ปัตตานี!J161"")"),0)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IFERROR(__xludf.DUMMYFUNCTION("IMPORTRANGE(""https://docs.google.com/spreadsheets/d/1IYY_tgx_IHuhSq3AJ5eI5OnqOPBNLWSHKh2a30DoXe8/edit?usp=sharing"",""ปัตตานี!J162"")"),0)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IFERROR(__xludf.DUMMYFUNCTION("IMPORTRANGE(""https://docs.google.com/spreadsheets/d/1IYY_tgx_IHuhSq3AJ5eI5OnqOPBNLWSHKh2a30DoXe8/edit?usp=sharing"",""ปัตตานี!J163"")"),0)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IFERROR(__xludf.DUMMYFUNCTION("IMPORTRANGE(""https://docs.google.com/spreadsheets/d/1IYY_tgx_IHuhSq3AJ5eI5OnqOPBNLWSHKh2a30DoXe8/edit?usp=sharing"",""ปัตตานี!I164"")"),0)</f>
        <v>0</v>
      </c>
      <c r="J244" s="194">
        <f ca="1">IFERROR(__xludf.DUMMYFUNCTION("IMPORTRANGE(""https://docs.google.com/spreadsheets/d/1IYY_tgx_IHuhSq3AJ5eI5OnqOPBNLWSHKh2a30DoXe8/edit?usp=sharing"",""ปัตตานี!J164"")"),0)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IFERROR(__xludf.DUMMYFUNCTION("IMPORTRANGE(""https://docs.google.com/spreadsheets/d/1IYY_tgx_IHuhSq3AJ5eI5OnqOPBNLWSHKh2a30DoXe8/edit?usp=sharing"",""ปัตตานี!J165"")"),0)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IFERROR(__xludf.DUMMYFUNCTION("IMPORTRANGE(""https://docs.google.com/spreadsheets/d/1IYY_tgx_IHuhSq3AJ5eI5OnqOPBNLWSHKh2a30DoXe8/edit?usp=sharing"",""ปัตตานี!J166"")"),0)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IFERROR(__xludf.DUMMYFUNCTION("IMPORTRANGE(""https://docs.google.com/spreadsheets/d/1IYY_tgx_IHuhSq3AJ5eI5OnqOPBNLWSHKh2a30DoXe8/edit?usp=sharing"",""ปัตตานี!I169"")"),0)</f>
        <v>0</v>
      </c>
      <c r="J249" s="322">
        <f ca="1">IFERROR(__xludf.DUMMYFUNCTION("IMPORTRANGE(""https://docs.google.com/spreadsheets/d/1IYY_tgx_IHuhSq3AJ5eI5OnqOPBNLWSHKh2a30DoXe8/edit?usp=sharing"",""ปัตตานี!J169"")"),0)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IFERROR(__xludf.DUMMYFUNCTION("IMPORTRANGE(""https://docs.google.com/spreadsheets/d/1Yj_ptqi66GCucihVvJfMjLAmec39IyEx_6qawtMGysU/edit?usp=sharing"",""สบก!CB86"")"),0)</f>
        <v>0</v>
      </c>
      <c r="N254" s="174">
        <f ca="1">IFERROR(__xludf.DUMMYFUNCTION("IMPORTRANGE(""https://docs.google.com/spreadsheets/d/1Yj_ptqi66GCucihVvJfMjLAmec39IyEx_6qawtMGysU/edit?usp=sharing"",""สบก!CC86"")"),0)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IFERROR(__xludf.DUMMYFUNCTION("IMPORTRANGE(""https://docs.google.com/spreadsheets/d/1Yj_ptqi66GCucihVvJfMjLAmec39IyEx_6qawtMGysU/edit?usp=sharing"",""สบก!BX86"")"),0)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IFERROR(__xludf.DUMMYFUNCTION("IMPORTRANGE(""https://docs.google.com/spreadsheets/d/1Yj_ptqi66GCucihVvJfMjLAmec39IyEx_6qawtMGysU/edit?usp=sharing"",""สบก!BY86"")"),0)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IFERROR(__xludf.DUMMYFUNCTION("IMPORTRANGE(""https://docs.google.com/spreadsheets/d/1Yj_ptqi66GCucihVvJfMjLAmec39IyEx_6qawtMGysU/edit?usp=sharing"",""สบก!BZ86"")"),0)</f>
        <v>0</v>
      </c>
      <c r="M258" s="101"/>
      <c r="N258" s="91">
        <f ca="1">IFERROR(__xludf.DUMMYFUNCTION("IMPORTRANGE(""https://docs.google.com/spreadsheets/d/1Yj_ptqi66GCucihVvJfMjLAmec39IyEx_6qawtMGysU/edit?usp=sharing"",""สบก!CD86"")"),0)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IFERROR(__xludf.DUMMYFUNCTION("IMPORTRANGE(""https://docs.google.com/spreadsheets/d/1IYY_tgx_IHuhSq3AJ5eI5OnqOPBNLWSHKh2a30DoXe8/edit?usp=sharing"",""ปัตตานี!J175"")"),0)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IFERROR(__xludf.DUMMYFUNCTION("IMPORTRANGE(""https://docs.google.com/spreadsheets/d/1IYY_tgx_IHuhSq3AJ5eI5OnqOPBNLWSHKh2a30DoXe8/edit?usp=sharing"",""ปัตตานี!J176"")"),0)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IFERROR(__xludf.DUMMYFUNCTION("IMPORTRANGE(""https://docs.google.com/spreadsheets/d/1IYY_tgx_IHuhSq3AJ5eI5OnqOPBNLWSHKh2a30DoXe8/edit?usp=sharing"",""ปัตตานี!J177"")"),0)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IFERROR(__xludf.DUMMYFUNCTION("IMPORTRANGE(""https://docs.google.com/spreadsheets/d/1IYY_tgx_IHuhSq3AJ5eI5OnqOPBNLWSHKh2a30DoXe8/edit?usp=sharing"",""ปัตตานี!J178"")"),0)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IFERROR(__xludf.DUMMYFUNCTION("IMPORTRANGE(""https://docs.google.com/spreadsheets/d/1IYY_tgx_IHuhSq3AJ5eI5OnqOPBNLWSHKh2a30DoXe8/edit?usp=sharing"",""ปัตตานี!I179"")"),0)</f>
        <v>0</v>
      </c>
      <c r="J264" s="195">
        <f ca="1">IFERROR(__xludf.DUMMYFUNCTION("IMPORTRANGE(""https://docs.google.com/spreadsheets/d/1IYY_tgx_IHuhSq3AJ5eI5OnqOPBNLWSHKh2a30DoXe8/edit?usp=sharing"",""ปัตตานี!J179"")"),0)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IFERROR(__xludf.DUMMYFUNCTION("IMPORTRANGE(""https://docs.google.com/spreadsheets/d/1IYY_tgx_IHuhSq3AJ5eI5OnqOPBNLWSHKh2a30DoXe8/edit?usp=sharing"",""ปัตตานี!I180"")"),0)</f>
        <v>0</v>
      </c>
      <c r="J265" s="195">
        <f ca="1">IFERROR(__xludf.DUMMYFUNCTION("IMPORTRANGE(""https://docs.google.com/spreadsheets/d/1IYY_tgx_IHuhSq3AJ5eI5OnqOPBNLWSHKh2a30DoXe8/edit?usp=sharing"",""ปัตตานี!J180"")"),0)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IFERROR(__xludf.DUMMYFUNCTION("IMPORTRANGE(""https://docs.google.com/spreadsheets/d/1IYY_tgx_IHuhSq3AJ5eI5OnqOPBNLWSHKh2a30DoXe8/edit?usp=sharing"",""ปัตตานี!I181"")"),0)</f>
        <v>0</v>
      </c>
      <c r="J266" s="195">
        <f ca="1">IFERROR(__xludf.DUMMYFUNCTION("IMPORTRANGE(""https://docs.google.com/spreadsheets/d/1IYY_tgx_IHuhSq3AJ5eI5OnqOPBNLWSHKh2a30DoXe8/edit?usp=sharing"",""ปัตตานี!J181"")"),0)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IFERROR(__xludf.DUMMYFUNCTION("IMPORTRANGE(""https://docs.google.com/spreadsheets/d/1IYY_tgx_IHuhSq3AJ5eI5OnqOPBNLWSHKh2a30DoXe8/edit?usp=sharing"",""ปัตตานี!I182"")"),0)</f>
        <v>0</v>
      </c>
      <c r="J267" s="195">
        <f ca="1">IFERROR(__xludf.DUMMYFUNCTION("IMPORTRANGE(""https://docs.google.com/spreadsheets/d/1IYY_tgx_IHuhSq3AJ5eI5OnqOPBNLWSHKh2a30DoXe8/edit?usp=sharing"",""ปัตตานี!J182"")"),0)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IFERROR(__xludf.DUMMYFUNCTION("IMPORTRANGE(""https://docs.google.com/spreadsheets/d/1IYY_tgx_IHuhSq3AJ5eI5OnqOPBNLWSHKh2a30DoXe8/edit?usp=sharing"",""ปัตตานี!J183"")"),0)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IFERROR(__xludf.DUMMYFUNCTION("IMPORTRANGE(""https://docs.google.com/spreadsheets/d/1IYY_tgx_IHuhSq3AJ5eI5OnqOPBNLWSHKh2a30DoXe8/edit?usp=sharing"",""ปัตตานี!J184"")"),0)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IFERROR(__xludf.DUMMYFUNCTION("IMPORTRANGE(""https://docs.google.com/spreadsheets/d/1IYY_tgx_IHuhSq3AJ5eI5OnqOPBNLWSHKh2a30DoXe8/edit?usp=sharing"",""ปัตตานี!I185"")"),0)</f>
        <v>0</v>
      </c>
      <c r="J270" s="322">
        <f ca="1">IFERROR(__xludf.DUMMYFUNCTION("IMPORTRANGE(""https://docs.google.com/spreadsheets/d/1IYY_tgx_IHuhSq3AJ5eI5OnqOPBNLWSHKh2a30DoXe8/edit?usp=sharing"",""ปัตตานี!J185"")"),0)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0</v>
      </c>
      <c r="M271" s="156">
        <f t="shared" ca="1" si="83"/>
        <v>0</v>
      </c>
      <c r="N271" s="156">
        <f t="shared" ca="1" si="83"/>
        <v>0</v>
      </c>
      <c r="O271" s="155">
        <f t="shared" ref="O271:O273" ca="1" si="84">IF(L271&gt;0,N271*100/L271,0)</f>
        <v>0</v>
      </c>
      <c r="P271" s="155">
        <f t="shared" ref="P271:P273" ca="1" si="85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0</v>
      </c>
      <c r="M273" s="161">
        <f t="shared" ca="1" si="87"/>
        <v>0</v>
      </c>
      <c r="N273" s="161">
        <f t="shared" ca="1" si="87"/>
        <v>0</v>
      </c>
      <c r="O273" s="160">
        <f t="shared" ca="1" si="84"/>
        <v>0</v>
      </c>
      <c r="P273" s="160">
        <f t="shared" ca="1" si="85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IFERROR(__xludf.DUMMYFUNCTION("IMPORTRANGE(""https://docs.google.com/spreadsheets/d/1Yj_ptqi66GCucihVvJfMjLAmec39IyEx_6qawtMGysU/edit?usp=sharing"",""สบก!CK86"")"),0)</f>
        <v>0</v>
      </c>
      <c r="N275" s="174">
        <f ca="1">IFERROR(__xludf.DUMMYFUNCTION("IMPORTRANGE(""https://docs.google.com/spreadsheets/d/1Yj_ptqi66GCucihVvJfMjLAmec39IyEx_6qawtMGysU/edit?usp=sharing"",""สบก!CL86"")"),0)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IFERROR(__xludf.DUMMYFUNCTION("IMPORTRANGE(""https://docs.google.com/spreadsheets/d/1Yj_ptqi66GCucihVvJfMjLAmec39IyEx_6qawtMGysU/edit?usp=sharing"",""สบก!CG86"")"),0)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IFERROR(__xludf.DUMMYFUNCTION("IMPORTRANGE(""https://docs.google.com/spreadsheets/d/1Yj_ptqi66GCucihVvJfMjLAmec39IyEx_6qawtMGysU/edit?usp=sharing"",""สบก!CH86"")"),0)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IFERROR(__xludf.DUMMYFUNCTION("IMPORTRANGE(""https://docs.google.com/spreadsheets/d/1Yj_ptqi66GCucihVvJfMjLAmec39IyEx_6qawtMGysU/edit?usp=sharing"",""สบก!CI86"")"),0)</f>
        <v>0</v>
      </c>
      <c r="M279" s="101"/>
      <c r="N279" s="91">
        <f ca="1">IFERROR(__xludf.DUMMYFUNCTION("IMPORTRANGE(""https://docs.google.com/spreadsheets/d/1Yj_ptqi66GCucihVvJfMjLAmec39IyEx_6qawtMGysU/edit?usp=sharing"",""สบก!CM86"")"),0)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IFERROR(__xludf.DUMMYFUNCTION("IMPORTRANGE(""https://docs.google.com/spreadsheets/d/1IYY_tgx_IHuhSq3AJ5eI5OnqOPBNLWSHKh2a30DoXe8/edit?usp=sharing"",""ปัตตานี!J191"")"),0)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IFERROR(__xludf.DUMMYFUNCTION("IMPORTRANGE(""https://docs.google.com/spreadsheets/d/1IYY_tgx_IHuhSq3AJ5eI5OnqOPBNLWSHKh2a30DoXe8/edit?usp=sharing"",""ปัตตานี!J192"")"),0)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IFERROR(__xludf.DUMMYFUNCTION("IMPORTRANGE(""https://docs.google.com/spreadsheets/d/1IYY_tgx_IHuhSq3AJ5eI5OnqOPBNLWSHKh2a30DoXe8/edit?usp=sharing"",""ปัตตานี!J193"")"),0)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IFERROR(__xludf.DUMMYFUNCTION("IMPORTRANGE(""https://docs.google.com/spreadsheets/d/1IYY_tgx_IHuhSq3AJ5eI5OnqOPBNLWSHKh2a30DoXe8/edit?usp=sharing"",""ปัตตานี!J194"")"),0)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IFERROR(__xludf.DUMMYFUNCTION("IMPORTRANGE(""https://docs.google.com/spreadsheets/d/1IYY_tgx_IHuhSq3AJ5eI5OnqOPBNLWSHKh2a30DoXe8/edit?usp=sharing"",""ปัตตานี!I195"")"),0)</f>
        <v>0</v>
      </c>
      <c r="J285" s="195">
        <f ca="1">IFERROR(__xludf.DUMMYFUNCTION("IMPORTRANGE(""https://docs.google.com/spreadsheets/d/1IYY_tgx_IHuhSq3AJ5eI5OnqOPBNLWSHKh2a30DoXe8/edit?usp=sharing"",""ปัตตานี!J195"")"),0)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IFERROR(__xludf.DUMMYFUNCTION("IMPORTRANGE(""https://docs.google.com/spreadsheets/d/1IYY_tgx_IHuhSq3AJ5eI5OnqOPBNLWSHKh2a30DoXe8/edit?usp=sharing"",""ปัตตานี!J196"")"),0)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IFERROR(__xludf.DUMMYFUNCTION("IMPORTRANGE(""https://docs.google.com/spreadsheets/d/1IYY_tgx_IHuhSq3AJ5eI5OnqOPBNLWSHKh2a30DoXe8/edit?usp=sharing"",""ปัตตานี!J197"")"),0)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IFERROR(__xludf.DUMMYFUNCTION("IMPORTRANGE(""https://docs.google.com/spreadsheets/d/1IYY_tgx_IHuhSq3AJ5eI5OnqOPBNLWSHKh2a30DoXe8/edit?usp=sharing"",""ปัตตานี!I199"")"),0)</f>
        <v>0</v>
      </c>
      <c r="J289" s="322">
        <f ca="1">IFERROR(__xludf.DUMMYFUNCTION("IMPORTRANGE(""https://docs.google.com/spreadsheets/d/1IYY_tgx_IHuhSq3AJ5eI5OnqOPBNLWSHKh2a30DoXe8/edit?usp=sharing"",""ปัตตานี!J199"")"),0)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IFERROR(__xludf.DUMMYFUNCTION("IMPORTRANGE(""https://docs.google.com/spreadsheets/d/1Yj_ptqi66GCucihVvJfMjLAmec39IyEx_6qawtMGysU/edit?usp=sharing"",""สบก!CT86"")"),0)</f>
        <v>0</v>
      </c>
      <c r="N294" s="174">
        <f ca="1">IFERROR(__xludf.DUMMYFUNCTION("IMPORTRANGE(""https://docs.google.com/spreadsheets/d/1Yj_ptqi66GCucihVvJfMjLAmec39IyEx_6qawtMGysU/edit?usp=sharing"",""สบก!CU86"")"),0)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IFERROR(__xludf.DUMMYFUNCTION("IMPORTRANGE(""https://docs.google.com/spreadsheets/d/1Yj_ptqi66GCucihVvJfMjLAmec39IyEx_6qawtMGysU/edit?usp=sharing"",""สบก!CP86"")"),0)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IFERROR(__xludf.DUMMYFUNCTION("IMPORTRANGE(""https://docs.google.com/spreadsheets/d/1Yj_ptqi66GCucihVvJfMjLAmec39IyEx_6qawtMGysU/edit?usp=sharing"",""สบก!CQ86"")"),0)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IFERROR(__xludf.DUMMYFUNCTION("IMPORTRANGE(""https://docs.google.com/spreadsheets/d/1Yj_ptqi66GCucihVvJfMjLAmec39IyEx_6qawtMGysU/edit?usp=sharing"",""สบก!CR86"")"),0)</f>
        <v>0</v>
      </c>
      <c r="M298" s="101"/>
      <c r="N298" s="91">
        <f ca="1">IFERROR(__xludf.DUMMYFUNCTION("IMPORTRANGE(""https://docs.google.com/spreadsheets/d/1Yj_ptqi66GCucihVvJfMjLAmec39IyEx_6qawtMGysU/edit?usp=sharing"",""สบก!CV86"")"),0)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IFERROR(__xludf.DUMMYFUNCTION("IMPORTRANGE(""https://docs.google.com/spreadsheets/d/1IYY_tgx_IHuhSq3AJ5eI5OnqOPBNLWSHKh2a30DoXe8/edit?usp=sharing"",""ปัตตานี!J205"")"),0)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IFERROR(__xludf.DUMMYFUNCTION("IMPORTRANGE(""https://docs.google.com/spreadsheets/d/1IYY_tgx_IHuhSq3AJ5eI5OnqOPBNLWSHKh2a30DoXe8/edit?usp=sharing"",""ปัตตานี!J206"")"),0)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IFERROR(__xludf.DUMMYFUNCTION("IMPORTRANGE(""https://docs.google.com/spreadsheets/d/1IYY_tgx_IHuhSq3AJ5eI5OnqOPBNLWSHKh2a30DoXe8/edit?usp=sharing"",""ปัตตานี!J207"")"),0)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IFERROR(__xludf.DUMMYFUNCTION("IMPORTRANGE(""https://docs.google.com/spreadsheets/d/1IYY_tgx_IHuhSq3AJ5eI5OnqOPBNLWSHKh2a30DoXe8/edit?usp=sharing"",""ปัตตานี!J208"")"),0)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IFERROR(__xludf.DUMMYFUNCTION("IMPORTRANGE(""https://docs.google.com/spreadsheets/d/1IYY_tgx_IHuhSq3AJ5eI5OnqOPBNLWSHKh2a30DoXe8/edit?usp=sharing"",""ปัตตานี!I209"")"),0)</f>
        <v>0</v>
      </c>
      <c r="J304" s="210">
        <f ca="1">IFERROR(__xludf.DUMMYFUNCTION("IMPORTRANGE(""https://docs.google.com/spreadsheets/d/1IYY_tgx_IHuhSq3AJ5eI5OnqOPBNLWSHKh2a30DoXe8/edit?usp=sharing"",""ปัตตานี!J209"")"),0)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IFERROR(__xludf.DUMMYFUNCTION("IMPORTRANGE(""https://docs.google.com/spreadsheets/d/1IYY_tgx_IHuhSq3AJ5eI5OnqOPBNLWSHKh2a30DoXe8/edit?usp=sharing"",""ปัตตานี!I211"")"),0)</f>
        <v>0</v>
      </c>
      <c r="J306" s="210">
        <f ca="1">IFERROR(__xludf.DUMMYFUNCTION("IMPORTRANGE(""https://docs.google.com/spreadsheets/d/1IYY_tgx_IHuhSq3AJ5eI5OnqOPBNLWSHKh2a30DoXe8/edit?usp=sharing"",""ปัตตานี!J211"")"),0)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IFERROR(__xludf.DUMMYFUNCTION("IMPORTRANGE(""https://docs.google.com/spreadsheets/d/1IYY_tgx_IHuhSq3AJ5eI5OnqOPBNLWSHKh2a30DoXe8/edit?usp=sharing"",""ปัตตานี!J212"")"),0)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IFERROR(__xludf.DUMMYFUNCTION("IMPORTRANGE(""https://docs.google.com/spreadsheets/d/1IYY_tgx_IHuhSq3AJ5eI5OnqOPBNLWSHKh2a30DoXe8/edit?usp=sharing"",""ปัตตานี!J213"")"),0)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IFERROR(__xludf.DUMMYFUNCTION("IMPORTRANGE(""https://docs.google.com/spreadsheets/d/1IYY_tgx_IHuhSq3AJ5eI5OnqOPBNLWSHKh2a30DoXe8/edit?usp=sharing"",""ปัตตานี!I214"")"),0)</f>
        <v>0</v>
      </c>
      <c r="J309" s="339">
        <f ca="1">IFERROR(__xludf.DUMMYFUNCTION("IMPORTRANGE(""https://docs.google.com/spreadsheets/d/1IYY_tgx_IHuhSq3AJ5eI5OnqOPBNLWSHKh2a30DoXe8/edit?usp=sharing"",""ปัตตานี!J214"")"),0)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IFERROR(__xludf.DUMMYFUNCTION("IMPORTRANGE(""https://docs.google.com/spreadsheets/d/1Yj_ptqi66GCucihVvJfMjLAmec39IyEx_6qawtMGysU/edit?usp=sharing"",""สบก!DC86"")"),0)</f>
        <v>0</v>
      </c>
      <c r="N314" s="174">
        <f ca="1">IFERROR(__xludf.DUMMYFUNCTION("IMPORTRANGE(""https://docs.google.com/spreadsheets/d/1Yj_ptqi66GCucihVvJfMjLAmec39IyEx_6qawtMGysU/edit?usp=sharing"",""สบก!DD86"")"),0)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IFERROR(__xludf.DUMMYFUNCTION("IMPORTRANGE(""https://docs.google.com/spreadsheets/d/1Yj_ptqi66GCucihVvJfMjLAmec39IyEx_6qawtMGysU/edit?usp=sharing"",""สบก!CY86"")"),0)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IFERROR(__xludf.DUMMYFUNCTION("IMPORTRANGE(""https://docs.google.com/spreadsheets/d/1Yj_ptqi66GCucihVvJfMjLAmec39IyEx_6qawtMGysU/edit?usp=sharing"",""สบก!CZ86"")"),0)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IFERROR(__xludf.DUMMYFUNCTION("IMPORTRANGE(""https://docs.google.com/spreadsheets/d/1Yj_ptqi66GCucihVvJfMjLAmec39IyEx_6qawtMGysU/edit?usp=sharing"",""สบก!DA86"")"),0)</f>
        <v>0</v>
      </c>
      <c r="M318" s="101"/>
      <c r="N318" s="91">
        <f ca="1">IFERROR(__xludf.DUMMYFUNCTION("IMPORTRANGE(""https://docs.google.com/spreadsheets/d/1Yj_ptqi66GCucihVvJfMjLAmec39IyEx_6qawtMGysU/edit?usp=sharing"",""สบก!DE86"")"),0)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IFERROR(__xludf.DUMMYFUNCTION("IMPORTRANGE(""https://docs.google.com/spreadsheets/d/1IYY_tgx_IHuhSq3AJ5eI5OnqOPBNLWSHKh2a30DoXe8/edit?usp=sharing"",""ปัตตานี!J220"")"),0)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IFERROR(__xludf.DUMMYFUNCTION("IMPORTRANGE(""https://docs.google.com/spreadsheets/d/1IYY_tgx_IHuhSq3AJ5eI5OnqOPBNLWSHKh2a30DoXe8/edit?usp=sharing"",""ปัตตานี!J221"")"),0)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IFERROR(__xludf.DUMMYFUNCTION("IMPORTRANGE(""https://docs.google.com/spreadsheets/d/1IYY_tgx_IHuhSq3AJ5eI5OnqOPBNLWSHKh2a30DoXe8/edit?usp=sharing"",""ปัตตานี!J222"")"),0)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IFERROR(__xludf.DUMMYFUNCTION("IMPORTRANGE(""https://docs.google.com/spreadsheets/d/1IYY_tgx_IHuhSq3AJ5eI5OnqOPBNLWSHKh2a30DoXe8/edit?usp=sharing"",""ปัตตานี!J223"")"),0)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IFERROR(__xludf.DUMMYFUNCTION("IMPORTRANGE(""https://docs.google.com/spreadsheets/d/1IYY_tgx_IHuhSq3AJ5eI5OnqOPBNLWSHKh2a30DoXe8/edit?usp=sharing"",""ปัตตานี!I224"")"),0)</f>
        <v>0</v>
      </c>
      <c r="J324" s="210">
        <f ca="1">IFERROR(__xludf.DUMMYFUNCTION("IMPORTRANGE(""https://docs.google.com/spreadsheets/d/1IYY_tgx_IHuhSq3AJ5eI5OnqOPBNLWSHKh2a30DoXe8/edit?usp=sharing"",""ปัตตานี!J224"")"),0)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IFERROR(__xludf.DUMMYFUNCTION("IMPORTRANGE(""https://docs.google.com/spreadsheets/d/1IYY_tgx_IHuhSq3AJ5eI5OnqOPBNLWSHKh2a30DoXe8/edit?usp=sharing"",""ปัตตานี!J225"")"),0)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IFERROR(__xludf.DUMMYFUNCTION("IMPORTRANGE(""https://docs.google.com/spreadsheets/d/1IYY_tgx_IHuhSq3AJ5eI5OnqOPBNLWSHKh2a30DoXe8/edit?usp=sharing"",""ปัตตานี!J226"")"),0)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IFERROR(__xludf.DUMMYFUNCTION("IMPORTRANGE(""https://docs.google.com/spreadsheets/d/1IYY_tgx_IHuhSq3AJ5eI5OnqOPBNLWSHKh2a30DoXe8/edit?usp=sharing"",""ปัตตานี!I228"")"),210)</f>
        <v>210</v>
      </c>
      <c r="J328" s="345">
        <f ca="1">IFERROR(__xludf.DUMMYFUNCTION("IMPORTRANGE(""https://docs.google.com/spreadsheets/d/1IYY_tgx_IHuhSq3AJ5eI5OnqOPBNLWSHKh2a30DoXe8/edit?usp=sharing"",""ปัตตานี!J228"")"),133)</f>
        <v>133</v>
      </c>
      <c r="K328" s="323">
        <f ca="1">IF(I328&gt;0,J328*100/I328,0)</f>
        <v>63.333333333333336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707640</v>
      </c>
      <c r="M329" s="156">
        <f t="shared" ca="1" si="98"/>
        <v>520890</v>
      </c>
      <c r="N329" s="156">
        <f t="shared" ca="1" si="98"/>
        <v>366221.15</v>
      </c>
      <c r="O329" s="155">
        <f t="shared" ref="O329:O331" ca="1" si="99">IF(L329&gt;0,N329*100/L329,0)</f>
        <v>51.752465943134929</v>
      </c>
      <c r="P329" s="155">
        <f t="shared" ref="P329:P331" ca="1" si="100">IF(M329&gt;0,N329*100/M329,0)</f>
        <v>70.306811418917619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707640</v>
      </c>
      <c r="M331" s="161">
        <f t="shared" ca="1" si="102"/>
        <v>520890</v>
      </c>
      <c r="N331" s="161">
        <f t="shared" ca="1" si="102"/>
        <v>366221.15</v>
      </c>
      <c r="O331" s="160">
        <f t="shared" ca="1" si="99"/>
        <v>51.752465943134929</v>
      </c>
      <c r="P331" s="160">
        <f t="shared" ca="1" si="100"/>
        <v>70.306811418917619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695140</v>
      </c>
      <c r="M333" s="173">
        <f ca="1">IFERROR(__xludf.DUMMYFUNCTION("IMPORTRANGE(""https://docs.google.com/spreadsheets/d/1Yj_ptqi66GCucihVvJfMjLAmec39IyEx_6qawtMGysU/edit?usp=sharing"",""สบก!DL86"")"),508390)</f>
        <v>508390</v>
      </c>
      <c r="N333" s="174">
        <f ca="1">IFERROR(__xludf.DUMMYFUNCTION("IMPORTRANGE(""https://docs.google.com/spreadsheets/d/1Yj_ptqi66GCucihVvJfMjLAmec39IyEx_6qawtMGysU/edit?usp=sharing"",""สบก!DM86"")"),353721.15)</f>
        <v>353721.15</v>
      </c>
      <c r="O333" s="175">
        <f ca="1">IF(L333&gt;0,N333*100/L333,0)</f>
        <v>50.884879304888223</v>
      </c>
      <c r="P333" s="175">
        <f ca="1">IF(M333&gt;0,N333*100/M333,0)</f>
        <v>69.576732429827501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IFERROR(__xludf.DUMMYFUNCTION("IMPORTRANGE(""https://docs.google.com/spreadsheets/d/1Yj_ptqi66GCucihVvJfMjLAmec39IyEx_6qawtMGysU/edit?usp=sharing"",""สบก!DH86"")"),417600)</f>
        <v>417600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IFERROR(__xludf.DUMMYFUNCTION("IMPORTRANGE(""https://docs.google.com/spreadsheets/d/1Yj_ptqi66GCucihVvJfMjLAmec39IyEx_6qawtMGysU/edit?usp=sharing"",""สบก!DI86"")"),277540)</f>
        <v>277540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IFERROR(__xludf.DUMMYFUNCTION("IMPORTRANGE(""https://docs.google.com/spreadsheets/d/1Yj_ptqi66GCucihVvJfMjLAmec39IyEx_6qawtMGysU/edit?usp=sharing"",""สบก!DJ86"")"),12500)</f>
        <v>12500</v>
      </c>
      <c r="M337" s="101">
        <f ca="1">L337</f>
        <v>12500</v>
      </c>
      <c r="N337" s="91">
        <f ca="1">IFERROR(__xludf.DUMMYFUNCTION("IMPORTRANGE(""https://docs.google.com/spreadsheets/d/1Yj_ptqi66GCucihVvJfMjLAmec39IyEx_6qawtMGysU/edit?usp=sharing"",""สบก!DN86"")"),12500)</f>
        <v>12500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IFERROR(__xludf.DUMMYFUNCTION("IMPORTRANGE(""https://docs.google.com/spreadsheets/d/1IYY_tgx_IHuhSq3AJ5eI5OnqOPBNLWSHKh2a30DoXe8/edit?usp=sharing"",""ปัตตานี!I234"")"),0)</f>
        <v>0</v>
      </c>
      <c r="J339" s="194">
        <f ca="1">IFERROR(__xludf.DUMMYFUNCTION("IMPORTRANGE(""https://docs.google.com/spreadsheets/d/1IYY_tgx_IHuhSq3AJ5eI5OnqOPBNLWSHKh2a30DoXe8/edit?usp=sharing"",""ปัตตานี!J234"")"),97)</f>
        <v>97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IFERROR(__xludf.DUMMYFUNCTION("IMPORTRANGE(""https://docs.google.com/spreadsheets/d/1IYY_tgx_IHuhSq3AJ5eI5OnqOPBNLWSHKh2a30DoXe8/edit?usp=sharing"",""ปัตตานี!I235"")"),944)</f>
        <v>944</v>
      </c>
      <c r="J340" s="194">
        <f ca="1">IFERROR(__xludf.DUMMYFUNCTION("IMPORTRANGE(""https://docs.google.com/spreadsheets/d/1IYY_tgx_IHuhSq3AJ5eI5OnqOPBNLWSHKh2a30DoXe8/edit?usp=sharing"",""ปัตตานี!J235"")"),454.42)</f>
        <v>454.42</v>
      </c>
      <c r="K340" s="348">
        <f t="shared" ca="1" si="103"/>
        <v>48.137711864406782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IFERROR(__xludf.DUMMYFUNCTION("IMPORTRANGE(""https://docs.google.com/spreadsheets/d/1IYY_tgx_IHuhSq3AJ5eI5OnqOPBNLWSHKh2a30DoXe8/edit?usp=sharing"",""ปัตตานี!I236"")"),210)</f>
        <v>210</v>
      </c>
      <c r="J341" s="194">
        <f ca="1">IFERROR(__xludf.DUMMYFUNCTION("IMPORTRANGE(""https://docs.google.com/spreadsheets/d/1IYY_tgx_IHuhSq3AJ5eI5OnqOPBNLWSHKh2a30DoXe8/edit?usp=sharing"",""ปัตตานี!J236"")"),136)</f>
        <v>136</v>
      </c>
      <c r="K341" s="348">
        <f t="shared" ca="1" si="103"/>
        <v>64.761904761904759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IFERROR(__xludf.DUMMYFUNCTION("IMPORTRANGE(""https://docs.google.com/spreadsheets/d/1IYY_tgx_IHuhSq3AJ5eI5OnqOPBNLWSHKh2a30DoXe8/edit?usp=sharing"",""ปัตตานี!I237"")"),0)</f>
        <v>0</v>
      </c>
      <c r="J342" s="194">
        <f ca="1">IFERROR(__xludf.DUMMYFUNCTION("IMPORTRANGE(""https://docs.google.com/spreadsheets/d/1IYY_tgx_IHuhSq3AJ5eI5OnqOPBNLWSHKh2a30DoXe8/edit?usp=sharing"",""ปัตตานี!J237"")"),629.319999999999)</f>
        <v>629.31999999999903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IFERROR(__xludf.DUMMYFUNCTION("IMPORTRANGE(""https://docs.google.com/spreadsheets/d/1IYY_tgx_IHuhSq3AJ5eI5OnqOPBNLWSHKh2a30DoXe8/edit?usp=sharing"",""ปัตตานี!I238"")"),210)</f>
        <v>210</v>
      </c>
      <c r="J343" s="194">
        <f ca="1">IFERROR(__xludf.DUMMYFUNCTION("IMPORTRANGE(""https://docs.google.com/spreadsheets/d/1IYY_tgx_IHuhSq3AJ5eI5OnqOPBNLWSHKh2a30DoXe8/edit?usp=sharing"",""ปัตตานี!J238"")"),0)</f>
        <v>0</v>
      </c>
      <c r="K343" s="348">
        <f t="shared" ca="1" si="103"/>
        <v>0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IFERROR(__xludf.DUMMYFUNCTION("IMPORTRANGE(""https://docs.google.com/spreadsheets/d/1IYY_tgx_IHuhSq3AJ5eI5OnqOPBNLWSHKh2a30DoXe8/edit?usp=sharing"",""ปัตตานี!I239"")"),0)</f>
        <v>0</v>
      </c>
      <c r="J344" s="194">
        <f ca="1">IFERROR(__xludf.DUMMYFUNCTION("IMPORTRANGE(""https://docs.google.com/spreadsheets/d/1IYY_tgx_IHuhSq3AJ5eI5OnqOPBNLWSHKh2a30DoXe8/edit?usp=sharing"",""ปัตตานี!J239"")"),0)</f>
        <v>0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IFERROR(__xludf.DUMMYFUNCTION("IMPORTRANGE(""https://docs.google.com/spreadsheets/d/1IYY_tgx_IHuhSq3AJ5eI5OnqOPBNLWSHKh2a30DoXe8/edit?usp=sharing"",""ปัตตานี!I240"")"),210)</f>
        <v>210</v>
      </c>
      <c r="J345" s="194">
        <f ca="1">IFERROR(__xludf.DUMMYFUNCTION("IMPORTRANGE(""https://docs.google.com/spreadsheets/d/1IYY_tgx_IHuhSq3AJ5eI5OnqOPBNLWSHKh2a30DoXe8/edit?usp=sharing"",""ปัตตานี!J240"")"),133)</f>
        <v>133</v>
      </c>
      <c r="K345" s="348">
        <f t="shared" ca="1" si="103"/>
        <v>63.333333333333336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IFERROR(__xludf.DUMMYFUNCTION("IMPORTRANGE(""https://docs.google.com/spreadsheets/d/1IYY_tgx_IHuhSq3AJ5eI5OnqOPBNLWSHKh2a30DoXe8/edit?usp=sharing"",""ปัตตานี!I241"")"),0)</f>
        <v>0</v>
      </c>
      <c r="J346" s="194">
        <f ca="1">IFERROR(__xludf.DUMMYFUNCTION("IMPORTRANGE(""https://docs.google.com/spreadsheets/d/1IYY_tgx_IHuhSq3AJ5eI5OnqOPBNLWSHKh2a30DoXe8/edit?usp=sharing"",""ปัตตานี!J241"")"),624.74)</f>
        <v>624.74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IFERROR(__xludf.DUMMYFUNCTION("IMPORTRANGE(""https://docs.google.com/spreadsheets/d/1IYY_tgx_IHuhSq3AJ5eI5OnqOPBNLWSHKh2a30DoXe8/edit?usp=sharing"",""ปัตตานี!L242"")"),723825.94)</f>
        <v>723825.94</v>
      </c>
      <c r="M347" s="364"/>
      <c r="N347" s="364">
        <f ca="1">IFERROR(__xludf.DUMMYFUNCTION("IMPORTRANGE(""https://docs.google.com/spreadsheets/d/1IYY_tgx_IHuhSq3AJ5eI5OnqOPBNLWSHKh2a30DoXe8/edit?usp=sharing"",""ปัตตานี!M242"")"),498113.889999999)</f>
        <v>498113.88999999902</v>
      </c>
      <c r="O347" s="364">
        <f ca="1">+IF(L347&gt;0,N347*100/L347,0)</f>
        <v>68.816805598318169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IFERROR(__xludf.DUMMYFUNCTION("IMPORTRANGE(""https://docs.google.com/spreadsheets/d/1IYY_tgx_IHuhSq3AJ5eI5OnqOPBNLWSHKh2a30DoXe8/edit?usp=sharing"",""ปัตตานี!I244"")"),20)</f>
        <v>20</v>
      </c>
      <c r="J349" s="377">
        <f ca="1">IFERROR(__xludf.DUMMYFUNCTION("IMPORTRANGE(""https://docs.google.com/spreadsheets/d/1IYY_tgx_IHuhSq3AJ5eI5OnqOPBNLWSHKh2a30DoXe8/edit?usp=sharing"",""ปัตตานี!J244"")"),20)</f>
        <v>20</v>
      </c>
      <c r="K349" s="378">
        <f t="shared" ref="K349:K350" ca="1" si="104">IF(I349&gt;0,J349*100/I349,0)</f>
        <v>100</v>
      </c>
      <c r="L349" s="379">
        <f ca="1">IFERROR(__xludf.DUMMYFUNCTION("IMPORTRANGE(""https://docs.google.com/spreadsheets/d/1IYY_tgx_IHuhSq3AJ5eI5OnqOPBNLWSHKh2a30DoXe8/edit?usp=sharing"",""ปัตตานี!L244"")"),215720)</f>
        <v>215720</v>
      </c>
      <c r="M349" s="379"/>
      <c r="N349" s="379">
        <f ca="1">IFERROR(__xludf.DUMMYFUNCTION("IMPORTRANGE(""https://docs.google.com/spreadsheets/d/1IYY_tgx_IHuhSq3AJ5eI5OnqOPBNLWSHKh2a30DoXe8/edit?usp=sharing"",""ปัตตานี!M244"")"),211604.09)</f>
        <v>211604.09</v>
      </c>
      <c r="O349" s="379">
        <f ca="1">+IF(L349&gt;0,N349*100/L349,0)</f>
        <v>98.092012794363058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IFERROR(__xludf.DUMMYFUNCTION("IMPORTRANGE(""https://docs.google.com/spreadsheets/d/1IYY_tgx_IHuhSq3AJ5eI5OnqOPBNLWSHKh2a30DoXe8/edit?usp=sharing"",""ปัตตานี!I245"")"),10)</f>
        <v>10</v>
      </c>
      <c r="J350" s="377">
        <f ca="1">IFERROR(__xludf.DUMMYFUNCTION("IMPORTRANGE(""https://docs.google.com/spreadsheets/d/1IYY_tgx_IHuhSq3AJ5eI5OnqOPBNLWSHKh2a30DoXe8/edit?usp=sharing"",""ปัตตานี!J245"")"),10)</f>
        <v>10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IFERROR(__xludf.DUMMYFUNCTION("IMPORTRANGE(""https://docs.google.com/spreadsheets/d/1IYY_tgx_IHuhSq3AJ5eI5OnqOPBNLWSHKh2a30DoXe8/edit?usp=sharing"",""ปัตตานี!L246"")"),0)</f>
        <v>0</v>
      </c>
      <c r="M351" s="168"/>
      <c r="N351" s="168">
        <f ca="1">IFERROR(__xludf.DUMMYFUNCTION("IMPORTRANGE(""https://docs.google.com/spreadsheets/d/1IYY_tgx_IHuhSq3AJ5eI5OnqOPBNLWSHKh2a30DoXe8/edit?usp=sharing"",""ปัตตานี!M246"")"),0)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IFERROR(__xludf.DUMMYFUNCTION("IMPORTRANGE(""https://docs.google.com/spreadsheets/d/1IYY_tgx_IHuhSq3AJ5eI5OnqOPBNLWSHKh2a30DoXe8/edit?usp=sharing"",""ปัตตานี!L247"")"),215720)</f>
        <v>215720</v>
      </c>
      <c r="M352" s="169"/>
      <c r="N352" s="168">
        <f ca="1">IFERROR(__xludf.DUMMYFUNCTION("IMPORTRANGE(""https://docs.google.com/spreadsheets/d/1IYY_tgx_IHuhSq3AJ5eI5OnqOPBNLWSHKh2a30DoXe8/edit?usp=sharing"",""ปัตตานี!M247"")"),211604.09)</f>
        <v>211604.09</v>
      </c>
      <c r="O352" s="169">
        <f t="shared" ca="1" si="105"/>
        <v>98.092012794363058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IFERROR(__xludf.DUMMYFUNCTION("IMPORTRANGE(""https://docs.google.com/spreadsheets/d/1IYY_tgx_IHuhSq3AJ5eI5OnqOPBNLWSHKh2a30DoXe8/edit?usp=sharing"",""ปัตตานี!L248"")"),0)</f>
        <v>0</v>
      </c>
      <c r="M353" s="175"/>
      <c r="N353" s="175">
        <f ca="1">IFERROR(__xludf.DUMMYFUNCTION("IMPORTRANGE(""https://docs.google.com/spreadsheets/d/1IYY_tgx_IHuhSq3AJ5eI5OnqOPBNLWSHKh2a30DoXe8/edit?usp=sharing"",""ปัตตานี!M248"")"),0)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IFERROR(__xludf.DUMMYFUNCTION("IMPORTRANGE(""https://docs.google.com/spreadsheets/d/1IYY_tgx_IHuhSq3AJ5eI5OnqOPBNLWSHKh2a30DoXe8/edit?usp=sharing"",""ปัตตานี!L249"")"),215720)</f>
        <v>215720</v>
      </c>
      <c r="M354" s="175"/>
      <c r="N354" s="172">
        <f ca="1">IFERROR(__xludf.DUMMYFUNCTION("IMPORTRANGE(""https://docs.google.com/spreadsheets/d/1IYY_tgx_IHuhSq3AJ5eI5OnqOPBNLWSHKh2a30DoXe8/edit?usp=sharing"",""ปัตตานี!M249"")"),211604.09)</f>
        <v>211604.09</v>
      </c>
      <c r="O354" s="175">
        <f t="shared" ca="1" si="105"/>
        <v>98.092012794363058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IFERROR(__xludf.DUMMYFUNCTION("IMPORTRANGE(""https://docs.google.com/spreadsheets/d/1IYY_tgx_IHuhSq3AJ5eI5OnqOPBNLWSHKh2a30DoXe8/edit?usp=sharing"",""ปัตตานี!M250"")"),16200)</f>
        <v>16200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IFERROR(__xludf.DUMMYFUNCTION("IMPORTRANGE(""https://docs.google.com/spreadsheets/d/1IYY_tgx_IHuhSq3AJ5eI5OnqOPBNLWSHKh2a30DoXe8/edit?usp=sharing"",""ปัตตานี!M251"")"),25000)</f>
        <v>25000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IFERROR(__xludf.DUMMYFUNCTION("IMPORTRANGE(""https://docs.google.com/spreadsheets/d/1IYY_tgx_IHuhSq3AJ5eI5OnqOPBNLWSHKh2a30DoXe8/edit?usp=sharing"",""ปัตตานี!M252"")"),156000)</f>
        <v>156000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IFERROR(__xludf.DUMMYFUNCTION("IMPORTRANGE(""https://docs.google.com/spreadsheets/d/1IYY_tgx_IHuhSq3AJ5eI5OnqOPBNLWSHKh2a30DoXe8/edit?usp=sharing"",""ปัตตานี!M253"")"),14404.09)</f>
        <v>14404.09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IFERROR(__xludf.DUMMYFUNCTION("IMPORTRANGE(""https://docs.google.com/spreadsheets/d/1IYY_tgx_IHuhSq3AJ5eI5OnqOPBNLWSHKh2a30DoXe8/edit?usp=sharing"",""ปัตตานี!J255"")"),0)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IFERROR(__xludf.DUMMYFUNCTION("IMPORTRANGE(""https://docs.google.com/spreadsheets/d/1IYY_tgx_IHuhSq3AJ5eI5OnqOPBNLWSHKh2a30DoXe8/edit?usp=sharing"",""ปัตตานี!J256"")"),1)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IFERROR(__xludf.DUMMYFUNCTION("IMPORTRANGE(""https://docs.google.com/spreadsheets/d/1IYY_tgx_IHuhSq3AJ5eI5OnqOPBNLWSHKh2a30DoXe8/edit?usp=sharing"",""ปัตตานี!J257"")"),1)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IFERROR(__xludf.DUMMYFUNCTION("IMPORTRANGE(""https://docs.google.com/spreadsheets/d/1IYY_tgx_IHuhSq3AJ5eI5OnqOPBNLWSHKh2a30DoXe8/edit?usp=sharing"",""ปัตตานี!J258"")"),1)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IFERROR(__xludf.DUMMYFUNCTION("IMPORTRANGE(""https://docs.google.com/spreadsheets/d/1IYY_tgx_IHuhSq3AJ5eI5OnqOPBNLWSHKh2a30DoXe8/edit?usp=sharing"",""ปัตตานี!J166"")"),0)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IFERROR(__xludf.DUMMYFUNCTION("IMPORTRANGE(""https://docs.google.com/spreadsheets/d/1IYY_tgx_IHuhSq3AJ5eI5OnqOPBNLWSHKh2a30DoXe8/edit?usp=sharing"",""ปัตตานี!J166"")"),0)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IFERROR(__xludf.DUMMYFUNCTION("IMPORTRANGE(""https://docs.google.com/spreadsheets/d/1IYY_tgx_IHuhSq3AJ5eI5OnqOPBNLWSHKh2a30DoXe8/edit?usp=sharing"",""ปัตตานี!J166"")"),0)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IFERROR(__xludf.DUMMYFUNCTION("IMPORTRANGE(""https://docs.google.com/spreadsheets/d/1IYY_tgx_IHuhSq3AJ5eI5OnqOPBNLWSHKh2a30DoXe8/edit?usp=sharing"",""ปัตตานี!J166"")"),0)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IFERROR(__xludf.DUMMYFUNCTION("IMPORTRANGE(""https://docs.google.com/spreadsheets/d/1IYY_tgx_IHuhSq3AJ5eI5OnqOPBNLWSHKh2a30DoXe8/edit?usp=sharing"",""ปัตตานี!I263"")"),10)</f>
        <v>10</v>
      </c>
      <c r="J368" s="194">
        <f ca="1">IFERROR(__xludf.DUMMYFUNCTION("IMPORTRANGE(""https://docs.google.com/spreadsheets/d/1IYY_tgx_IHuhSq3AJ5eI5OnqOPBNLWSHKh2a30DoXe8/edit?usp=sharing"",""ปัตตานี!J263"")"),10)</f>
        <v>10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IFERROR(__xludf.DUMMYFUNCTION("IMPORTRANGE(""https://docs.google.com/spreadsheets/d/1IYY_tgx_IHuhSq3AJ5eI5OnqOPBNLWSHKh2a30DoXe8/edit?usp=sharing"",""ปัตตานี!I164"")"),0)</f>
        <v>0</v>
      </c>
      <c r="J369" s="210">
        <f ca="1">IFERROR(__xludf.DUMMYFUNCTION("IMPORTRANGE(""https://docs.google.com/spreadsheets/d/1IYY_tgx_IHuhSq3AJ5eI5OnqOPBNLWSHKh2a30DoXe8/edit?usp=sharing"",""ปัตตานี!J164"")"),0)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IFERROR(__xludf.DUMMYFUNCTION("IMPORTRANGE(""https://docs.google.com/spreadsheets/d/1IYY_tgx_IHuhSq3AJ5eI5OnqOPBNLWSHKh2a30DoXe8/edit?usp=sharing"",""ปัตตานี!I265"")"),10)</f>
        <v>10</v>
      </c>
      <c r="J370" s="210">
        <f ca="1">IFERROR(__xludf.DUMMYFUNCTION("IMPORTRANGE(""https://docs.google.com/spreadsheets/d/1IYY_tgx_IHuhSq3AJ5eI5OnqOPBNLWSHKh2a30DoXe8/edit?usp=sharing"",""ปัตตานี!J265"")"),10)</f>
        <v>10</v>
      </c>
      <c r="K370" s="167">
        <f t="shared" ca="1" si="106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IFERROR(__xludf.DUMMYFUNCTION("IMPORTRANGE(""https://docs.google.com/spreadsheets/d/1IYY_tgx_IHuhSq3AJ5eI5OnqOPBNLWSHKh2a30DoXe8/edit?usp=sharing"",""ปัตตานี!I164"")"),0)</f>
        <v>0</v>
      </c>
      <c r="J371" s="195">
        <f ca="1">IFERROR(__xludf.DUMMYFUNCTION("IMPORTRANGE(""https://docs.google.com/spreadsheets/d/1IYY_tgx_IHuhSq3AJ5eI5OnqOPBNLWSHKh2a30DoXe8/edit?usp=sharing"",""ปัตตานี!J164"")"),0)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IFERROR(__xludf.DUMMYFUNCTION("IMPORTRANGE(""https://docs.google.com/spreadsheets/d/1IYY_tgx_IHuhSq3AJ5eI5OnqOPBNLWSHKh2a30DoXe8/edit?usp=sharing"",""ปัตตานี!I267"")"),10)</f>
        <v>10</v>
      </c>
      <c r="J372" s="195">
        <f ca="1">IFERROR(__xludf.DUMMYFUNCTION("IMPORTRANGE(""https://docs.google.com/spreadsheets/d/1IYY_tgx_IHuhSq3AJ5eI5OnqOPBNLWSHKh2a30DoXe8/edit?usp=sharing"",""ปัตตานี!J267"")"),10)</f>
        <v>10</v>
      </c>
      <c r="K372" s="167">
        <f t="shared" ca="1" si="106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IFERROR(__xludf.DUMMYFUNCTION("IMPORTRANGE(""https://docs.google.com/spreadsheets/d/1IYY_tgx_IHuhSq3AJ5eI5OnqOPBNLWSHKh2a30DoXe8/edit?usp=sharing"",""ปัตตานี!I164"")"),0)</f>
        <v>0</v>
      </c>
      <c r="J373" s="210">
        <f ca="1">IFERROR(__xludf.DUMMYFUNCTION("IMPORTRANGE(""https://docs.google.com/spreadsheets/d/1IYY_tgx_IHuhSq3AJ5eI5OnqOPBNLWSHKh2a30DoXe8/edit?usp=sharing"",""ปัตตานี!J164"")"),0)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IFERROR(__xludf.DUMMYFUNCTION("IMPORTRANGE(""https://docs.google.com/spreadsheets/d/1IYY_tgx_IHuhSq3AJ5eI5OnqOPBNLWSHKh2a30DoXe8/edit?usp=sharing"",""ปัตตานี!I164"")"),0)</f>
        <v>0</v>
      </c>
      <c r="J374" s="194">
        <f ca="1">IFERROR(__xludf.DUMMYFUNCTION("IMPORTRANGE(""https://docs.google.com/spreadsheets/d/1IYY_tgx_IHuhSq3AJ5eI5OnqOPBNLWSHKh2a30DoXe8/edit?usp=sharing"",""ปัตตานี!J164"")"),0)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IFERROR(__xludf.DUMMYFUNCTION("IMPORTRANGE(""https://docs.google.com/spreadsheets/d/1IYY_tgx_IHuhSq3AJ5eI5OnqOPBNLWSHKh2a30DoXe8/edit?usp=sharing"",""ปัตตานี!I270"")"),20)</f>
        <v>20</v>
      </c>
      <c r="J375" s="194">
        <f ca="1">IFERROR(__xludf.DUMMYFUNCTION("IMPORTRANGE(""https://docs.google.com/spreadsheets/d/1IYY_tgx_IHuhSq3AJ5eI5OnqOPBNLWSHKh2a30DoXe8/edit?usp=sharing"",""ปัตตานี!J270"")"),20)</f>
        <v>20</v>
      </c>
      <c r="K375" s="167">
        <f t="shared" ref="K375:K377" ca="1" si="107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IFERROR(__xludf.DUMMYFUNCTION("IMPORTRANGE(""https://docs.google.com/spreadsheets/d/1IYY_tgx_IHuhSq3AJ5eI5OnqOPBNLWSHKh2a30DoXe8/edit?usp=sharing"",""ปัตตานี!I271"")"),20)</f>
        <v>20</v>
      </c>
      <c r="J376" s="195">
        <f ca="1">IFERROR(__xludf.DUMMYFUNCTION("IMPORTRANGE(""https://docs.google.com/spreadsheets/d/1IYY_tgx_IHuhSq3AJ5eI5OnqOPBNLWSHKh2a30DoXe8/edit?usp=sharing"",""ปัตตานี!J271"")"),20)</f>
        <v>20</v>
      </c>
      <c r="K376" s="167">
        <f t="shared" ca="1" si="107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IFERROR(__xludf.DUMMYFUNCTION("IMPORTRANGE(""https://docs.google.com/spreadsheets/d/1IYY_tgx_IHuhSq3AJ5eI5OnqOPBNLWSHKh2a30DoXe8/edit?usp=sharing"",""ปัตตานี!I272"")"),0)</f>
        <v>0</v>
      </c>
      <c r="J377" s="210">
        <f ca="1">IFERROR(__xludf.DUMMYFUNCTION("IMPORTRANGE(""https://docs.google.com/spreadsheets/d/1IYY_tgx_IHuhSq3AJ5eI5OnqOPBNLWSHKh2a30DoXe8/edit?usp=sharing"",""ปัตตานี!J272"")"),0)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IFERROR(__xludf.DUMMYFUNCTION("IMPORTRANGE(""https://docs.google.com/spreadsheets/d/1IYY_tgx_IHuhSq3AJ5eI5OnqOPBNLWSHKh2a30DoXe8/edit?usp=sharing"",""ปัตตานี!J273"")"),0)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IFERROR(__xludf.DUMMYFUNCTION("IMPORTRANGE(""https://docs.google.com/spreadsheets/d/1IYY_tgx_IHuhSq3AJ5eI5OnqOPBNLWSHKh2a30DoXe8/edit?usp=sharing"",""ปัตตานี!J274"")"),0)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IFERROR(__xludf.DUMMYFUNCTION("IMPORTRANGE(""https://docs.google.com/spreadsheets/d/1IYY_tgx_IHuhSq3AJ5eI5OnqOPBNLWSHKh2a30DoXe8/edit?usp=sharing"",""ปัตตานี!I275"")"),50)</f>
        <v>50</v>
      </c>
      <c r="J380" s="377">
        <f ca="1">IFERROR(__xludf.DUMMYFUNCTION("IMPORTRANGE(""https://docs.google.com/spreadsheets/d/1IYY_tgx_IHuhSq3AJ5eI5OnqOPBNLWSHKh2a30DoXe8/edit?usp=sharing"",""ปัตตานี!J275"")"),0)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IFERROR(__xludf.DUMMYFUNCTION("IMPORTRANGE(""https://docs.google.com/spreadsheets/d/1IYY_tgx_IHuhSq3AJ5eI5OnqOPBNLWSHKh2a30DoXe8/edit?usp=sharing"",""ปัตตานี!L275"")"),87710)</f>
        <v>87710</v>
      </c>
      <c r="M380" s="379"/>
      <c r="N380" s="379">
        <f ca="1">IFERROR(__xludf.DUMMYFUNCTION("IMPORTRANGE(""https://docs.google.com/spreadsheets/d/1IYY_tgx_IHuhSq3AJ5eI5OnqOPBNLWSHKh2a30DoXe8/edit?usp=sharing"",""ปัตตานี!M275"")"),24844.12)</f>
        <v>24844.12</v>
      </c>
      <c r="O380" s="379">
        <f ca="1">+IF(L380&gt;0,N380*100/L380,0)</f>
        <v>28.325299281723861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IFERROR(__xludf.DUMMYFUNCTION("IMPORTRANGE(""https://docs.google.com/spreadsheets/d/1IYY_tgx_IHuhSq3AJ5eI5OnqOPBNLWSHKh2a30DoXe8/edit?usp=sharing"",""ปัตตานี!I276"")"),5)</f>
        <v>5</v>
      </c>
      <c r="J381" s="377">
        <f ca="1">IFERROR(__xludf.DUMMYFUNCTION("IMPORTRANGE(""https://docs.google.com/spreadsheets/d/1IYY_tgx_IHuhSq3AJ5eI5OnqOPBNLWSHKh2a30DoXe8/edit?usp=sharing"",""ปัตตานี!J276"")"),5)</f>
        <v>5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IFERROR(__xludf.DUMMYFUNCTION("IMPORTRANGE(""https://docs.google.com/spreadsheets/d/1IYY_tgx_IHuhSq3AJ5eI5OnqOPBNLWSHKh2a30DoXe8/edit?usp=sharing"",""ปัตตานี!L277"")"),0)</f>
        <v>0</v>
      </c>
      <c r="M382" s="168"/>
      <c r="N382" s="168">
        <f ca="1">IFERROR(__xludf.DUMMYFUNCTION("IMPORTRANGE(""https://docs.google.com/spreadsheets/d/1IYY_tgx_IHuhSq3AJ5eI5OnqOPBNLWSHKh2a30DoXe8/edit?usp=sharing"",""ปัตตานี!M277"")"),0)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IFERROR(__xludf.DUMMYFUNCTION("IMPORTRANGE(""https://docs.google.com/spreadsheets/d/1IYY_tgx_IHuhSq3AJ5eI5OnqOPBNLWSHKh2a30DoXe8/edit?usp=sharing"",""ปัตตานี!L278"")"),87710)</f>
        <v>87710</v>
      </c>
      <c r="M383" s="169"/>
      <c r="N383" s="169">
        <f ca="1">IFERROR(__xludf.DUMMYFUNCTION("IMPORTRANGE(""https://docs.google.com/spreadsheets/d/1IYY_tgx_IHuhSq3AJ5eI5OnqOPBNLWSHKh2a30DoXe8/edit?usp=sharing"",""ปัตตานี!M278"")"),24844.12)</f>
        <v>24844.12</v>
      </c>
      <c r="O383" s="169">
        <f t="shared" ca="1" si="109"/>
        <v>28.325299281723861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IFERROR(__xludf.DUMMYFUNCTION("IMPORTRANGE(""https://docs.google.com/spreadsheets/d/1IYY_tgx_IHuhSq3AJ5eI5OnqOPBNLWSHKh2a30DoXe8/edit?usp=sharing"",""ปัตตานี!L279"")"),0)</f>
        <v>0</v>
      </c>
      <c r="M384" s="175"/>
      <c r="N384" s="175">
        <f ca="1">IFERROR(__xludf.DUMMYFUNCTION("IMPORTRANGE(""https://docs.google.com/spreadsheets/d/1IYY_tgx_IHuhSq3AJ5eI5OnqOPBNLWSHKh2a30DoXe8/edit?usp=sharing"",""ปัตตานี!M279"")"),0)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IFERROR(__xludf.DUMMYFUNCTION("IMPORTRANGE(""https://docs.google.com/spreadsheets/d/1IYY_tgx_IHuhSq3AJ5eI5OnqOPBNLWSHKh2a30DoXe8/edit?usp=sharing"",""ปัตตานี!L280"")"),87710)</f>
        <v>87710</v>
      </c>
      <c r="M385" s="175"/>
      <c r="N385" s="172">
        <f ca="1">IFERROR(__xludf.DUMMYFUNCTION("IMPORTRANGE(""https://docs.google.com/spreadsheets/d/1IYY_tgx_IHuhSq3AJ5eI5OnqOPBNLWSHKh2a30DoXe8/edit?usp=sharing"",""ปัตตานี!M280"")"),24844.12)</f>
        <v>24844.12</v>
      </c>
      <c r="O385" s="175">
        <f t="shared" ca="1" si="109"/>
        <v>28.325299281723861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IFERROR(__xludf.DUMMYFUNCTION("IMPORTRANGE(""https://docs.google.com/spreadsheets/d/1IYY_tgx_IHuhSq3AJ5eI5OnqOPBNLWSHKh2a30DoXe8/edit?usp=sharing"",""ปัตตานี!M281"")"),22040)</f>
        <v>22040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IFERROR(__xludf.DUMMYFUNCTION("IMPORTRANGE(""https://docs.google.com/spreadsheets/d/1IYY_tgx_IHuhSq3AJ5eI5OnqOPBNLWSHKh2a30DoXe8/edit?usp=sharing"",""ปัตตานี!M282"")"),0)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IFERROR(__xludf.DUMMYFUNCTION("IMPORTRANGE(""https://docs.google.com/spreadsheets/d/1IYY_tgx_IHuhSq3AJ5eI5OnqOPBNLWSHKh2a30DoXe8/edit?usp=sharing"",""ปัตตานี!M283"")"),0)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IFERROR(__xludf.DUMMYFUNCTION("IMPORTRANGE(""https://docs.google.com/spreadsheets/d/1IYY_tgx_IHuhSq3AJ5eI5OnqOPBNLWSHKh2a30DoXe8/edit?usp=sharing"",""ปัตตานี!M284"")"),2804.12)</f>
        <v>2804.12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IFERROR(__xludf.DUMMYFUNCTION("IMPORTRANGE(""https://docs.google.com/spreadsheets/d/1IYY_tgx_IHuhSq3AJ5eI5OnqOPBNLWSHKh2a30DoXe8/edit?usp=sharing"",""ปัตตานี!J286"")"),0)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IFERROR(__xludf.DUMMYFUNCTION("IMPORTRANGE(""https://docs.google.com/spreadsheets/d/1IYY_tgx_IHuhSq3AJ5eI5OnqOPBNLWSHKh2a30DoXe8/edit?usp=sharing"",""ปัตตานี!J287"")"),1)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IFERROR(__xludf.DUMMYFUNCTION("IMPORTRANGE(""https://docs.google.com/spreadsheets/d/1IYY_tgx_IHuhSq3AJ5eI5OnqOPBNLWSHKh2a30DoXe8/edit?usp=sharing"",""ปัตตานี!J288"")"),1)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IFERROR(__xludf.DUMMYFUNCTION("IMPORTRANGE(""https://docs.google.com/spreadsheets/d/1IYY_tgx_IHuhSq3AJ5eI5OnqOPBNLWSHKh2a30DoXe8/edit?usp=sharing"",""ปัตตานี!J289"")"),1)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IFERROR(__xludf.DUMMYFUNCTION("IMPORTRANGE(""https://docs.google.com/spreadsheets/d/1IYY_tgx_IHuhSq3AJ5eI5OnqOPBNLWSHKh2a30DoXe8/edit?usp=sharing"",""ปัตตานี!I291"")"),5)</f>
        <v>5</v>
      </c>
      <c r="J396" s="204">
        <f ca="1">IFERROR(__xludf.DUMMYFUNCTION("IMPORTRANGE(""https://docs.google.com/spreadsheets/d/1IYY_tgx_IHuhSq3AJ5eI5OnqOPBNLWSHKh2a30DoXe8/edit?usp=sharing"",""ปัตตานี!J291"")"),5)</f>
        <v>5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IFERROR(__xludf.DUMMYFUNCTION("IMPORTRANGE(""https://docs.google.com/spreadsheets/d/1IYY_tgx_IHuhSq3AJ5eI5OnqOPBNLWSHKh2a30DoXe8/edit?usp=sharing"",""ปัตตานี!I292"")"),50)</f>
        <v>50</v>
      </c>
      <c r="J397" s="204">
        <f ca="1">IFERROR(__xludf.DUMMYFUNCTION("IMPORTRANGE(""https://docs.google.com/spreadsheets/d/1IYY_tgx_IHuhSq3AJ5eI5OnqOPBNLWSHKh2a30DoXe8/edit?usp=sharing"",""ปัตตานี!J292"")"),0)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IFERROR(__xludf.DUMMYFUNCTION("IMPORTRANGE(""https://docs.google.com/spreadsheets/d/1IYY_tgx_IHuhSq3AJ5eI5OnqOPBNLWSHKh2a30DoXe8/edit?usp=sharing"",""ปัตตานี!I293"")"),5)</f>
        <v>5</v>
      </c>
      <c r="J398" s="204">
        <f ca="1">IFERROR(__xludf.DUMMYFUNCTION("IMPORTRANGE(""https://docs.google.com/spreadsheets/d/1IYY_tgx_IHuhSq3AJ5eI5OnqOPBNLWSHKh2a30DoXe8/edit?usp=sharing"",""ปัตตานี!J293"")"),0)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IFERROR(__xludf.DUMMYFUNCTION("IMPORTRANGE(""https://docs.google.com/spreadsheets/d/1IYY_tgx_IHuhSq3AJ5eI5OnqOPBNLWSHKh2a30DoXe8/edit?usp=sharing"",""ปัตตานี!J294"")"),0)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IFERROR(__xludf.DUMMYFUNCTION("IMPORTRANGE(""https://docs.google.com/spreadsheets/d/1IYY_tgx_IHuhSq3AJ5eI5OnqOPBNLWSHKh2a30DoXe8/edit?usp=sharing"",""ปัตตานี!J295"")"),0)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IFERROR(__xludf.DUMMYFUNCTION("IMPORTRANGE(""https://docs.google.com/spreadsheets/d/1IYY_tgx_IHuhSq3AJ5eI5OnqOPBNLWSHKh2a30DoXe8/edit?usp=sharing"",""ปัตตานี!I296"")"),105)</f>
        <v>105</v>
      </c>
      <c r="J401" s="377">
        <f ca="1">IFERROR(__xludf.DUMMYFUNCTION("IMPORTRANGE(""https://docs.google.com/spreadsheets/d/1IYY_tgx_IHuhSq3AJ5eI5OnqOPBNLWSHKh2a30DoXe8/edit?usp=sharing"",""ปัตตานี!J296"")"),105)</f>
        <v>105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IFERROR(__xludf.DUMMYFUNCTION("IMPORTRANGE(""https://docs.google.com/spreadsheets/d/1IYY_tgx_IHuhSq3AJ5eI5OnqOPBNLWSHKh2a30DoXe8/edit?usp=sharing"",""ปัตตานี!L296"")"),131710)</f>
        <v>131710</v>
      </c>
      <c r="M401" s="379"/>
      <c r="N401" s="379">
        <f ca="1">IFERROR(__xludf.DUMMYFUNCTION("IMPORTRANGE(""https://docs.google.com/spreadsheets/d/1IYY_tgx_IHuhSq3AJ5eI5OnqOPBNLWSHKh2a30DoXe8/edit?usp=sharing"",""ปัตตานี!M296"")"),126370)</f>
        <v>126370</v>
      </c>
      <c r="O401" s="379">
        <f ca="1">+IF(L401&gt;0,N401*100/L401,0)</f>
        <v>95.945638144408164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IFERROR(__xludf.DUMMYFUNCTION("IMPORTRANGE(""https://docs.google.com/spreadsheets/d/1IYY_tgx_IHuhSq3AJ5eI5OnqOPBNLWSHKh2a30DoXe8/edit?usp=sharing"",""ปัตตานี!I297"")"),35)</f>
        <v>35</v>
      </c>
      <c r="J402" s="377">
        <f ca="1">IFERROR(__xludf.DUMMYFUNCTION("IMPORTRANGE(""https://docs.google.com/spreadsheets/d/1IYY_tgx_IHuhSq3AJ5eI5OnqOPBNLWSHKh2a30DoXe8/edit?usp=sharing"",""ปัตตานี!J297"")"),35)</f>
        <v>35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IFERROR(__xludf.DUMMYFUNCTION("IMPORTRANGE(""https://docs.google.com/spreadsheets/d/1IYY_tgx_IHuhSq3AJ5eI5OnqOPBNLWSHKh2a30DoXe8/edit?usp=sharing"",""ปัตตานี!L298"")"),0)</f>
        <v>0</v>
      </c>
      <c r="M403" s="168"/>
      <c r="N403" s="175">
        <f ca="1">IFERROR(__xludf.DUMMYFUNCTION("IMPORTRANGE(""https://docs.google.com/spreadsheets/d/1IYY_tgx_IHuhSq3AJ5eI5OnqOPBNLWSHKh2a30DoXe8/edit?usp=sharing"",""ปัตตานี!M298"")"),0)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IFERROR(__xludf.DUMMYFUNCTION("IMPORTRANGE(""https://docs.google.com/spreadsheets/d/1IYY_tgx_IHuhSq3AJ5eI5OnqOPBNLWSHKh2a30DoXe8/edit?usp=sharing"",""ปัตตานี!L299"")"),131710)</f>
        <v>131710</v>
      </c>
      <c r="M404" s="169"/>
      <c r="N404" s="175">
        <f ca="1">IFERROR(__xludf.DUMMYFUNCTION("IMPORTRANGE(""https://docs.google.com/spreadsheets/d/1IYY_tgx_IHuhSq3AJ5eI5OnqOPBNLWSHKh2a30DoXe8/edit?usp=sharing"",""ปัตตานี!M299"")"),126370)</f>
        <v>126370</v>
      </c>
      <c r="O404" s="175">
        <f t="shared" ca="1" si="112"/>
        <v>95.945638144408164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IFERROR(__xludf.DUMMYFUNCTION("IMPORTRANGE(""https://docs.google.com/spreadsheets/d/1IYY_tgx_IHuhSq3AJ5eI5OnqOPBNLWSHKh2a30DoXe8/edit?usp=sharing"",""ปัตตานี!L300"")"),0)</f>
        <v>0</v>
      </c>
      <c r="M405" s="175"/>
      <c r="N405" s="175">
        <f ca="1">IFERROR(__xludf.DUMMYFUNCTION("IMPORTRANGE(""https://docs.google.com/spreadsheets/d/1IYY_tgx_IHuhSq3AJ5eI5OnqOPBNLWSHKh2a30DoXe8/edit?usp=sharing"",""ปัตตานี!M300"")"),0)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IFERROR(__xludf.DUMMYFUNCTION("IMPORTRANGE(""https://docs.google.com/spreadsheets/d/1IYY_tgx_IHuhSq3AJ5eI5OnqOPBNLWSHKh2a30DoXe8/edit?usp=sharing"",""ปัตตานี!L301"")"),131710)</f>
        <v>131710</v>
      </c>
      <c r="M406" s="175"/>
      <c r="N406" s="175">
        <f ca="1">IFERROR(__xludf.DUMMYFUNCTION("IMPORTRANGE(""https://docs.google.com/spreadsheets/d/1IYY_tgx_IHuhSq3AJ5eI5OnqOPBNLWSHKh2a30DoXe8/edit?usp=sharing"",""ปัตตานี!M301"")"),126370)</f>
        <v>126370</v>
      </c>
      <c r="O406" s="175">
        <f t="shared" ca="1" si="112"/>
        <v>95.945638144408164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IFERROR(__xludf.DUMMYFUNCTION("IMPORTRANGE(""https://docs.google.com/spreadsheets/d/1IYY_tgx_IHuhSq3AJ5eI5OnqOPBNLWSHKh2a30DoXe8/edit?usp=sharing"",""ปัตตานี!M302"")"),78850)</f>
        <v>78850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IFERROR(__xludf.DUMMYFUNCTION("IMPORTRANGE(""https://docs.google.com/spreadsheets/d/1IYY_tgx_IHuhSq3AJ5eI5OnqOPBNLWSHKh2a30DoXe8/edit?usp=sharing"",""ปัตตานี!M303"")"),25500)</f>
        <v>25500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IFERROR(__xludf.DUMMYFUNCTION("IMPORTRANGE(""https://docs.google.com/spreadsheets/d/1IYY_tgx_IHuhSq3AJ5eI5OnqOPBNLWSHKh2a30DoXe8/edit?usp=sharing"",""ปัตตานี!M304"")"),0)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IFERROR(__xludf.DUMMYFUNCTION("IMPORTRANGE(""https://docs.google.com/spreadsheets/d/1IYY_tgx_IHuhSq3AJ5eI5OnqOPBNLWSHKh2a30DoXe8/edit?usp=sharing"",""ปัตตานี!M305"")"),22020)</f>
        <v>22020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IFERROR(__xludf.DUMMYFUNCTION("IMPORTRANGE(""https://docs.google.com/spreadsheets/d/1IYY_tgx_IHuhSq3AJ5eI5OnqOPBNLWSHKh2a30DoXe8/edit?usp=sharing"",""ปัตตานี!J307"")"),0)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IFERROR(__xludf.DUMMYFUNCTION("IMPORTRANGE(""https://docs.google.com/spreadsheets/d/1IYY_tgx_IHuhSq3AJ5eI5OnqOPBNLWSHKh2a30DoXe8/edit?usp=sharing"",""ปัตตานี!J308"")"),1)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IFERROR(__xludf.DUMMYFUNCTION("IMPORTRANGE(""https://docs.google.com/spreadsheets/d/1IYY_tgx_IHuhSq3AJ5eI5OnqOPBNLWSHKh2a30DoXe8/edit?usp=sharing"",""ปัตตานี!J309"")"),1)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IFERROR(__xludf.DUMMYFUNCTION("IMPORTRANGE(""https://docs.google.com/spreadsheets/d/1IYY_tgx_IHuhSq3AJ5eI5OnqOPBNLWSHKh2a30DoXe8/edit?usp=sharing"",""ปัตตานี!J310"")"),1)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IFERROR(__xludf.DUMMYFUNCTION("IMPORTRANGE(""https://docs.google.com/spreadsheets/d/1IYY_tgx_IHuhSq3AJ5eI5OnqOPBNLWSHKh2a30DoXe8/edit?usp=sharing"",""ปัตตานี!I311"")"),35)</f>
        <v>35</v>
      </c>
      <c r="J416" s="207">
        <f ca="1">IFERROR(__xludf.DUMMYFUNCTION("IMPORTRANGE(""https://docs.google.com/spreadsheets/d/1IYY_tgx_IHuhSq3AJ5eI5OnqOPBNLWSHKh2a30DoXe8/edit?usp=sharing"",""ปัตตานี!J311"")"),35)</f>
        <v>35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IFERROR(__xludf.DUMMYFUNCTION("IMPORTRANGE(""https://docs.google.com/spreadsheets/d/1IYY_tgx_IHuhSq3AJ5eI5OnqOPBNLWSHKh2a30DoXe8/edit?usp=sharing"",""ปัตตานี!I312"")"),10)</f>
        <v>10</v>
      </c>
      <c r="J417" s="398">
        <f ca="1">IFERROR(__xludf.DUMMYFUNCTION("IMPORTRANGE(""https://docs.google.com/spreadsheets/d/1IYY_tgx_IHuhSq3AJ5eI5OnqOPBNLWSHKh2a30DoXe8/edit?usp=sharing"",""ปัตตานี!J312"")"),10)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IFERROR(__xludf.DUMMYFUNCTION("IMPORTRANGE(""https://docs.google.com/spreadsheets/d/1IYY_tgx_IHuhSq3AJ5eI5OnqOPBNLWSHKh2a30DoXe8/edit?usp=sharing"",""ปัตตานี!I313"")"),30)</f>
        <v>30</v>
      </c>
      <c r="J418" s="399">
        <f ca="1">IFERROR(__xludf.DUMMYFUNCTION("IMPORTRANGE(""https://docs.google.com/spreadsheets/d/1IYY_tgx_IHuhSq3AJ5eI5OnqOPBNLWSHKh2a30DoXe8/edit?usp=sharing"",""ปัตตานี!J313"")"),30)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IFERROR(__xludf.DUMMYFUNCTION("IMPORTRANGE(""https://docs.google.com/spreadsheets/d/1IYY_tgx_IHuhSq3AJ5eI5OnqOPBNLWSHKh2a30DoXe8/edit?usp=sharing"",""ปัตตานี!I314"")"),10)</f>
        <v>10</v>
      </c>
      <c r="J419" s="400">
        <f ca="1">IFERROR(__xludf.DUMMYFUNCTION("IMPORTRANGE(""https://docs.google.com/spreadsheets/d/1IYY_tgx_IHuhSq3AJ5eI5OnqOPBNLWSHKh2a30DoXe8/edit?usp=sharing"",""ปัตตานี!J314"")"),10)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IFERROR(__xludf.DUMMYFUNCTION("IMPORTRANGE(""https://docs.google.com/spreadsheets/d/1IYY_tgx_IHuhSq3AJ5eI5OnqOPBNLWSHKh2a30DoXe8/edit?usp=sharing"",""ปัตตานี!I315"")"),10)</f>
        <v>10</v>
      </c>
      <c r="J420" s="400">
        <f ca="1">IFERROR(__xludf.DUMMYFUNCTION("IMPORTRANGE(""https://docs.google.com/spreadsheets/d/1IYY_tgx_IHuhSq3AJ5eI5OnqOPBNLWSHKh2a30DoXe8/edit?usp=sharing"",""ปัตตานี!J315"")"),10)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IFERROR(__xludf.DUMMYFUNCTION("IMPORTRANGE(""https://docs.google.com/spreadsheets/d/1IYY_tgx_IHuhSq3AJ5eI5OnqOPBNLWSHKh2a30DoXe8/edit?usp=sharing"",""ปัตตานี!I316"")"),15)</f>
        <v>15</v>
      </c>
      <c r="J421" s="398">
        <f ca="1">IFERROR(__xludf.DUMMYFUNCTION("IMPORTRANGE(""https://docs.google.com/spreadsheets/d/1IYY_tgx_IHuhSq3AJ5eI5OnqOPBNLWSHKh2a30DoXe8/edit?usp=sharing"",""ปัตตานี!J316"")"),15)</f>
        <v>15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IFERROR(__xludf.DUMMYFUNCTION("IMPORTRANGE(""https://docs.google.com/spreadsheets/d/1IYY_tgx_IHuhSq3AJ5eI5OnqOPBNLWSHKh2a30DoXe8/edit?usp=sharing"",""ปัตตานี!I317"")"),45)</f>
        <v>45</v>
      </c>
      <c r="J422" s="399">
        <f ca="1">IFERROR(__xludf.DUMMYFUNCTION("IMPORTRANGE(""https://docs.google.com/spreadsheets/d/1IYY_tgx_IHuhSq3AJ5eI5OnqOPBNLWSHKh2a30DoXe8/edit?usp=sharing"",""ปัตตานี!J317"")"),45)</f>
        <v>45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IFERROR(__xludf.DUMMYFUNCTION("IMPORTRANGE(""https://docs.google.com/spreadsheets/d/1IYY_tgx_IHuhSq3AJ5eI5OnqOPBNLWSHKh2a30DoXe8/edit?usp=sharing"",""ปัตตานี!I318"")"),15)</f>
        <v>15</v>
      </c>
      <c r="J423" s="400">
        <f ca="1">IFERROR(__xludf.DUMMYFUNCTION("IMPORTRANGE(""https://docs.google.com/spreadsheets/d/1IYY_tgx_IHuhSq3AJ5eI5OnqOPBNLWSHKh2a30DoXe8/edit?usp=sharing"",""ปัตตานี!J318"")"),15)</f>
        <v>15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IFERROR(__xludf.DUMMYFUNCTION("IMPORTRANGE(""https://docs.google.com/spreadsheets/d/1IYY_tgx_IHuhSq3AJ5eI5OnqOPBNLWSHKh2a30DoXe8/edit?usp=sharing"",""ปัตตานี!I319"")"),15)</f>
        <v>15</v>
      </c>
      <c r="J424" s="400">
        <f ca="1">IFERROR(__xludf.DUMMYFUNCTION("IMPORTRANGE(""https://docs.google.com/spreadsheets/d/1IYY_tgx_IHuhSq3AJ5eI5OnqOPBNLWSHKh2a30DoXe8/edit?usp=sharing"",""ปัตตานี!J319"")"),15)</f>
        <v>15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IFERROR(__xludf.DUMMYFUNCTION("IMPORTRANGE(""https://docs.google.com/spreadsheets/d/1IYY_tgx_IHuhSq3AJ5eI5OnqOPBNLWSHKh2a30DoXe8/edit?usp=sharing"",""ปัตตานี!I320"")"),15)</f>
        <v>15</v>
      </c>
      <c r="J425" s="400">
        <f ca="1">IFERROR(__xludf.DUMMYFUNCTION("IMPORTRANGE(""https://docs.google.com/spreadsheets/d/1IYY_tgx_IHuhSq3AJ5eI5OnqOPBNLWSHKh2a30DoXe8/edit?usp=sharing"",""ปัตตานี!J320"")"),15)</f>
        <v>15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IFERROR(__xludf.DUMMYFUNCTION("IMPORTRANGE(""https://docs.google.com/spreadsheets/d/1IYY_tgx_IHuhSq3AJ5eI5OnqOPBNLWSHKh2a30DoXe8/edit?usp=sharing"",""ปัตตานี!I321"")"),10)</f>
        <v>10</v>
      </c>
      <c r="J426" s="398">
        <f ca="1">IFERROR(__xludf.DUMMYFUNCTION("IMPORTRANGE(""https://docs.google.com/spreadsheets/d/1IYY_tgx_IHuhSq3AJ5eI5OnqOPBNLWSHKh2a30DoXe8/edit?usp=sharing"",""ปัตตานี!J321"")"),10)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IFERROR(__xludf.DUMMYFUNCTION("IMPORTRANGE(""https://docs.google.com/spreadsheets/d/1IYY_tgx_IHuhSq3AJ5eI5OnqOPBNLWSHKh2a30DoXe8/edit?usp=sharing"",""ปัตตานี!I322"")"),30)</f>
        <v>30</v>
      </c>
      <c r="J427" s="399">
        <f ca="1">IFERROR(__xludf.DUMMYFUNCTION("IMPORTRANGE(""https://docs.google.com/spreadsheets/d/1IYY_tgx_IHuhSq3AJ5eI5OnqOPBNLWSHKh2a30DoXe8/edit?usp=sharing"",""ปัตตานี!J322"")"),30)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IFERROR(__xludf.DUMMYFUNCTION("IMPORTRANGE(""https://docs.google.com/spreadsheets/d/1IYY_tgx_IHuhSq3AJ5eI5OnqOPBNLWSHKh2a30DoXe8/edit?usp=sharing"",""ปัตตานี!I323"")"),10)</f>
        <v>10</v>
      </c>
      <c r="J428" s="400">
        <f ca="1">IFERROR(__xludf.DUMMYFUNCTION("IMPORTRANGE(""https://docs.google.com/spreadsheets/d/1IYY_tgx_IHuhSq3AJ5eI5OnqOPBNLWSHKh2a30DoXe8/edit?usp=sharing"",""ปัตตานี!J323"")"),10)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IFERROR(__xludf.DUMMYFUNCTION("IMPORTRANGE(""https://docs.google.com/spreadsheets/d/1IYY_tgx_IHuhSq3AJ5eI5OnqOPBNLWSHKh2a30DoXe8/edit?usp=sharing"",""ปัตตานี!I324"")"),10)</f>
        <v>10</v>
      </c>
      <c r="J429" s="400">
        <f ca="1">IFERROR(__xludf.DUMMYFUNCTION("IMPORTRANGE(""https://docs.google.com/spreadsheets/d/1IYY_tgx_IHuhSq3AJ5eI5OnqOPBNLWSHKh2a30DoXe8/edit?usp=sharing"",""ปัตตานี!J324"")"),10)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IFERROR(__xludf.DUMMYFUNCTION("IMPORTRANGE(""https://docs.google.com/spreadsheets/d/1IYY_tgx_IHuhSq3AJ5eI5OnqOPBNLWSHKh2a30DoXe8/edit?usp=sharing"",""ปัตตานี!I325"")"),25)</f>
        <v>25</v>
      </c>
      <c r="J430" s="398">
        <f ca="1">IFERROR(__xludf.DUMMYFUNCTION("IMPORTRANGE(""https://docs.google.com/spreadsheets/d/1IYY_tgx_IHuhSq3AJ5eI5OnqOPBNLWSHKh2a30DoXe8/edit?usp=sharing"",""ปัตตานี!J325"")"),25)</f>
        <v>25</v>
      </c>
      <c r="K430" s="208">
        <f t="shared" ca="1" si="113"/>
        <v>100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IFERROR(__xludf.DUMMYFUNCTION("IMPORTRANGE(""https://docs.google.com/spreadsheets/d/1IYY_tgx_IHuhSq3AJ5eI5OnqOPBNLWSHKh2a30DoXe8/edit?usp=sharing"",""ปัตตานี!I326"")"),10)</f>
        <v>10</v>
      </c>
      <c r="J431" s="400">
        <f ca="1">IFERROR(__xludf.DUMMYFUNCTION("IMPORTRANGE(""https://docs.google.com/spreadsheets/d/1IYY_tgx_IHuhSq3AJ5eI5OnqOPBNLWSHKh2a30DoXe8/edit?usp=sharing"",""ปัตตานี!J326"")"),10)</f>
        <v>10</v>
      </c>
      <c r="K431" s="167">
        <f t="shared" ca="1" si="113"/>
        <v>100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IFERROR(__xludf.DUMMYFUNCTION("IMPORTRANGE(""https://docs.google.com/spreadsheets/d/1IYY_tgx_IHuhSq3AJ5eI5OnqOPBNLWSHKh2a30DoXe8/edit?usp=sharing"",""ปัตตานี!I327"")"),15)</f>
        <v>15</v>
      </c>
      <c r="J432" s="400">
        <f ca="1">IFERROR(__xludf.DUMMYFUNCTION("IMPORTRANGE(""https://docs.google.com/spreadsheets/d/1IYY_tgx_IHuhSq3AJ5eI5OnqOPBNLWSHKh2a30DoXe8/edit?usp=sharing"",""ปัตตานี!J327"")"),15)</f>
        <v>15</v>
      </c>
      <c r="K432" s="167">
        <f t="shared" ca="1" si="113"/>
        <v>100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IFERROR(__xludf.DUMMYFUNCTION("IMPORTRANGE(""https://docs.google.com/spreadsheets/d/1IYY_tgx_IHuhSq3AJ5eI5OnqOPBNLWSHKh2a30DoXe8/edit?usp=sharing"",""ปัตตานี!J328"")"),0)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IFERROR(__xludf.DUMMYFUNCTION("IMPORTRANGE(""https://docs.google.com/spreadsheets/d/1IYY_tgx_IHuhSq3AJ5eI5OnqOPBNLWSHKh2a30DoXe8/edit?usp=sharing"",""ปัตตานี!J329"")"),0)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IFERROR(__xludf.DUMMYFUNCTION("IMPORTRANGE(""https://docs.google.com/spreadsheets/d/1IYY_tgx_IHuhSq3AJ5eI5OnqOPBNLWSHKh2a30DoXe8/edit?usp=sharing"",""ปัตตานี!I330"")"),10)</f>
        <v>10</v>
      </c>
      <c r="J435" s="416">
        <f ca="1">IFERROR(__xludf.DUMMYFUNCTION("IMPORTRANGE(""https://docs.google.com/spreadsheets/d/1IYY_tgx_IHuhSq3AJ5eI5OnqOPBNLWSHKh2a30DoXe8/edit?usp=sharing"",""ปัตตานี!J330"")"),10)</f>
        <v>10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IFERROR(__xludf.DUMMYFUNCTION("IMPORTRANGE(""https://docs.google.com/spreadsheets/d/1IYY_tgx_IHuhSq3AJ5eI5OnqOPBNLWSHKh2a30DoXe8/edit?usp=sharing"",""ปัตตานี!L330"")"),76000)</f>
        <v>76000</v>
      </c>
      <c r="M435" s="418"/>
      <c r="N435" s="418">
        <f ca="1">IFERROR(__xludf.DUMMYFUNCTION("IMPORTRANGE(""https://docs.google.com/spreadsheets/d/1IYY_tgx_IHuhSq3AJ5eI5OnqOPBNLWSHKh2a30DoXe8/edit?usp=sharing"",""ปัตตานี!M330"")"),23210)</f>
        <v>23210</v>
      </c>
      <c r="O435" s="418">
        <f t="shared" ref="O435:O439" ca="1" si="114">+IF(L435&gt;0,N435*100/L435,0)</f>
        <v>30.539473684210527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IFERROR(__xludf.DUMMYFUNCTION("IMPORTRANGE(""https://docs.google.com/spreadsheets/d/1IYY_tgx_IHuhSq3AJ5eI5OnqOPBNLWSHKh2a30DoXe8/edit?usp=sharing"",""ปัตตานี!L331"")"),0)</f>
        <v>0</v>
      </c>
      <c r="M436" s="168"/>
      <c r="N436" s="175">
        <f ca="1">IFERROR(__xludf.DUMMYFUNCTION("IMPORTRANGE(""https://docs.google.com/spreadsheets/d/1IYY_tgx_IHuhSq3AJ5eI5OnqOPBNLWSHKh2a30DoXe8/edit?usp=sharing"",""ปัตตานี!M331"")"),0)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IFERROR(__xludf.DUMMYFUNCTION("IMPORTRANGE(""https://docs.google.com/spreadsheets/d/1IYY_tgx_IHuhSq3AJ5eI5OnqOPBNLWSHKh2a30DoXe8/edit?usp=sharing"",""ปัตตานี!L332"")"),76000)</f>
        <v>76000</v>
      </c>
      <c r="M437" s="169"/>
      <c r="N437" s="175">
        <f ca="1">IFERROR(__xludf.DUMMYFUNCTION("IMPORTRANGE(""https://docs.google.com/spreadsheets/d/1IYY_tgx_IHuhSq3AJ5eI5OnqOPBNLWSHKh2a30DoXe8/edit?usp=sharing"",""ปัตตานี!M332"")"),23210)</f>
        <v>23210</v>
      </c>
      <c r="O437" s="175">
        <f t="shared" ca="1" si="114"/>
        <v>30.539473684210527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IFERROR(__xludf.DUMMYFUNCTION("IMPORTRANGE(""https://docs.google.com/spreadsheets/d/1IYY_tgx_IHuhSq3AJ5eI5OnqOPBNLWSHKh2a30DoXe8/edit?usp=sharing"",""ปัตตานี!L333"")"),0)</f>
        <v>0</v>
      </c>
      <c r="M438" s="175"/>
      <c r="N438" s="175">
        <f ca="1">IFERROR(__xludf.DUMMYFUNCTION("IMPORTRANGE(""https://docs.google.com/spreadsheets/d/1IYY_tgx_IHuhSq3AJ5eI5OnqOPBNLWSHKh2a30DoXe8/edit?usp=sharing"",""ปัตตานี!M333"")"),0)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IFERROR(__xludf.DUMMYFUNCTION("IMPORTRANGE(""https://docs.google.com/spreadsheets/d/1IYY_tgx_IHuhSq3AJ5eI5OnqOPBNLWSHKh2a30DoXe8/edit?usp=sharing"",""ปัตตานี!L334"")"),76000)</f>
        <v>76000</v>
      </c>
      <c r="M439" s="175"/>
      <c r="N439" s="175">
        <f ca="1">IFERROR(__xludf.DUMMYFUNCTION("IMPORTRANGE(""https://docs.google.com/spreadsheets/d/1IYY_tgx_IHuhSq3AJ5eI5OnqOPBNLWSHKh2a30DoXe8/edit?usp=sharing"",""ปัตตานี!M334"")"),23210)</f>
        <v>23210</v>
      </c>
      <c r="O439" s="175">
        <f t="shared" ca="1" si="114"/>
        <v>30.539473684210527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IFERROR(__xludf.DUMMYFUNCTION("IMPORTRANGE(""https://docs.google.com/spreadsheets/d/1IYY_tgx_IHuhSq3AJ5eI5OnqOPBNLWSHKh2a30DoXe8/edit?usp=sharing"",""ปัตตานี!M335"")"),20200)</f>
        <v>20200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IFERROR(__xludf.DUMMYFUNCTION("IMPORTRANGE(""https://docs.google.com/spreadsheets/d/1IYY_tgx_IHuhSq3AJ5eI5OnqOPBNLWSHKh2a30DoXe8/edit?usp=sharing"",""ปัตตานี!M336"")"),0)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IFERROR(__xludf.DUMMYFUNCTION("IMPORTRANGE(""https://docs.google.com/spreadsheets/d/1IYY_tgx_IHuhSq3AJ5eI5OnqOPBNLWSHKh2a30DoXe8/edit?usp=sharing"",""ปัตตานี!M337"")"),0)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IFERROR(__xludf.DUMMYFUNCTION("IMPORTRANGE(""https://docs.google.com/spreadsheets/d/1IYY_tgx_IHuhSq3AJ5eI5OnqOPBNLWSHKh2a30DoXe8/edit?usp=sharing"",""ปัตตานี!M338"")"),3010)</f>
        <v>3010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IFERROR(__xludf.DUMMYFUNCTION("IMPORTRANGE(""https://docs.google.com/spreadsheets/d/1IYY_tgx_IHuhSq3AJ5eI5OnqOPBNLWSHKh2a30DoXe8/edit?usp=sharing"",""ปัตตานี!J340"")"),0)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IFERROR(__xludf.DUMMYFUNCTION("IMPORTRANGE(""https://docs.google.com/spreadsheets/d/1IYY_tgx_IHuhSq3AJ5eI5OnqOPBNLWSHKh2a30DoXe8/edit?usp=sharing"",""ปัตตานี!J341"")"),1)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IFERROR(__xludf.DUMMYFUNCTION("IMPORTRANGE(""https://docs.google.com/spreadsheets/d/1IYY_tgx_IHuhSq3AJ5eI5OnqOPBNLWSHKh2a30DoXe8/edit?usp=sharing"",""ปัตตานี!J342"")"),1)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IFERROR(__xludf.DUMMYFUNCTION("IMPORTRANGE(""https://docs.google.com/spreadsheets/d/1IYY_tgx_IHuhSq3AJ5eI5OnqOPBNLWSHKh2a30DoXe8/edit?usp=sharing"",""ปัตตานี!J343"")"),1)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IFERROR(__xludf.DUMMYFUNCTION("IMPORTRANGE(""https://docs.google.com/spreadsheets/d/1IYY_tgx_IHuhSq3AJ5eI5OnqOPBNLWSHKh2a30DoXe8/edit?usp=sharing"",""ปัตตานี!I344"")"),10)</f>
        <v>10</v>
      </c>
      <c r="J449" s="207">
        <f ca="1">IFERROR(__xludf.DUMMYFUNCTION("IMPORTRANGE(""https://docs.google.com/spreadsheets/d/1IYY_tgx_IHuhSq3AJ5eI5OnqOPBNLWSHKh2a30DoXe8/edit?usp=sharing"",""ปัตตานี!J344"")"),10)</f>
        <v>10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IFERROR(__xludf.DUMMYFUNCTION("IMPORTRANGE(""https://docs.google.com/spreadsheets/d/1IYY_tgx_IHuhSq3AJ5eI5OnqOPBNLWSHKh2a30DoXe8/edit?usp=sharing"",""ปัตตานี!I345"")"),10)</f>
        <v>10</v>
      </c>
      <c r="J450" s="195">
        <f ca="1">IFERROR(__xludf.DUMMYFUNCTION("IMPORTRANGE(""https://docs.google.com/spreadsheets/d/1IYY_tgx_IHuhSq3AJ5eI5OnqOPBNLWSHKh2a30DoXe8/edit?usp=sharing"",""ปัตตานี!J345"")"),10)</f>
        <v>10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IFERROR(__xludf.DUMMYFUNCTION("IMPORTRANGE(""https://docs.google.com/spreadsheets/d/1IYY_tgx_IHuhSq3AJ5eI5OnqOPBNLWSHKh2a30DoXe8/edit?usp=sharing"",""ปัตตานี!I346"")"),0)</f>
        <v>0</v>
      </c>
      <c r="J451" s="194">
        <f ca="1">IFERROR(__xludf.DUMMYFUNCTION("IMPORTRANGE(""https://docs.google.com/spreadsheets/d/1IYY_tgx_IHuhSq3AJ5eI5OnqOPBNLWSHKh2a30DoXe8/edit?usp=sharing"",""ปัตตานี!J346"")"),0)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IFERROR(__xludf.DUMMYFUNCTION("IMPORTRANGE(""https://docs.google.com/spreadsheets/d/1IYY_tgx_IHuhSq3AJ5eI5OnqOPBNLWSHKh2a30DoXe8/edit?usp=sharing"",""ปัตตานี!I347"")"),0)</f>
        <v>0</v>
      </c>
      <c r="J452" s="194">
        <f ca="1">IFERROR(__xludf.DUMMYFUNCTION("IMPORTRANGE(""https://docs.google.com/spreadsheets/d/1IYY_tgx_IHuhSq3AJ5eI5OnqOPBNLWSHKh2a30DoXe8/edit?usp=sharing"",""ปัตตานี!J347"")"),0)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IFERROR(__xludf.DUMMYFUNCTION("IMPORTRANGE(""https://docs.google.com/spreadsheets/d/1IYY_tgx_IHuhSq3AJ5eI5OnqOPBNLWSHKh2a30DoXe8/edit?usp=sharing"",""ปัตตานี!J348"")"),0)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IFERROR(__xludf.DUMMYFUNCTION("IMPORTRANGE(""https://docs.google.com/spreadsheets/d/1IYY_tgx_IHuhSq3AJ5eI5OnqOPBNLWSHKh2a30DoXe8/edit?usp=sharing"",""ปัตตานี!J349"")"),0)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IFERROR(__xludf.DUMMYFUNCTION("IMPORTRANGE(""https://docs.google.com/spreadsheets/d/1IYY_tgx_IHuhSq3AJ5eI5OnqOPBNLWSHKh2a30DoXe8/edit?usp=sharing"",""ปัตตานี!I350"")"),2341)</f>
        <v>2341</v>
      </c>
      <c r="J455" s="377">
        <f ca="1">IFERROR(__xludf.DUMMYFUNCTION("IMPORTRANGE(""https://docs.google.com/spreadsheets/d/1IYY_tgx_IHuhSq3AJ5eI5OnqOPBNLWSHKh2a30DoXe8/edit?usp=sharing"",""ปัตตานี!J350"")"),2341.08)</f>
        <v>2341.08</v>
      </c>
      <c r="K455" s="378">
        <f ca="1">IF(I455&gt;0,J455*100/I455,0)</f>
        <v>100.00341734301581</v>
      </c>
      <c r="L455" s="379">
        <f ca="1">IFERROR(__xludf.DUMMYFUNCTION("IMPORTRANGE(""https://docs.google.com/spreadsheets/d/1IYY_tgx_IHuhSq3AJ5eI5OnqOPBNLWSHKh2a30DoXe8/edit?usp=sharing"",""ปัตตานี!L350"")"),53225.94)</f>
        <v>53225.94</v>
      </c>
      <c r="M455" s="379"/>
      <c r="N455" s="379">
        <f ca="1">IFERROR(__xludf.DUMMYFUNCTION("IMPORTRANGE(""https://docs.google.com/spreadsheets/d/1IYY_tgx_IHuhSq3AJ5eI5OnqOPBNLWSHKh2a30DoXe8/edit?usp=sharing"",""ปัตตานี!M350"")"),22105)</f>
        <v>22105</v>
      </c>
      <c r="O455" s="379">
        <f t="shared" ref="O455:O459" ca="1" si="116">+IF(L455&gt;0,N455*100/L455,0)</f>
        <v>41.530501856801401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IFERROR(__xludf.DUMMYFUNCTION("IMPORTRANGE(""https://docs.google.com/spreadsheets/d/1IYY_tgx_IHuhSq3AJ5eI5OnqOPBNLWSHKh2a30DoXe8/edit?usp=sharing"",""ปัตตานี!L351"")"),0)</f>
        <v>0</v>
      </c>
      <c r="M456" s="168"/>
      <c r="N456" s="175">
        <f ca="1">IFERROR(__xludf.DUMMYFUNCTION("IMPORTRANGE(""https://docs.google.com/spreadsheets/d/1IYY_tgx_IHuhSq3AJ5eI5OnqOPBNLWSHKh2a30DoXe8/edit?usp=sharing"",""ปัตตานี!M351"")"),0)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IFERROR(__xludf.DUMMYFUNCTION("IMPORTRANGE(""https://docs.google.com/spreadsheets/d/1IYY_tgx_IHuhSq3AJ5eI5OnqOPBNLWSHKh2a30DoXe8/edit?usp=sharing"",""ปัตตานี!L352"")"),53225.94)</f>
        <v>53225.94</v>
      </c>
      <c r="M457" s="169"/>
      <c r="N457" s="175">
        <f ca="1">IFERROR(__xludf.DUMMYFUNCTION("IMPORTRANGE(""https://docs.google.com/spreadsheets/d/1IYY_tgx_IHuhSq3AJ5eI5OnqOPBNLWSHKh2a30DoXe8/edit?usp=sharing"",""ปัตตานี!M352"")"),22105)</f>
        <v>22105</v>
      </c>
      <c r="O457" s="175">
        <f t="shared" ca="1" si="116"/>
        <v>41.530501856801401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IFERROR(__xludf.DUMMYFUNCTION("IMPORTRANGE(""https://docs.google.com/spreadsheets/d/1IYY_tgx_IHuhSq3AJ5eI5OnqOPBNLWSHKh2a30DoXe8/edit?usp=sharing"",""ปัตตานี!L353"")"),0)</f>
        <v>0</v>
      </c>
      <c r="M458" s="175"/>
      <c r="N458" s="175">
        <f ca="1">IFERROR(__xludf.DUMMYFUNCTION("IMPORTRANGE(""https://docs.google.com/spreadsheets/d/1IYY_tgx_IHuhSq3AJ5eI5OnqOPBNLWSHKh2a30DoXe8/edit?usp=sharing"",""ปัตตานี!M353"")"),0)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IFERROR(__xludf.DUMMYFUNCTION("IMPORTRANGE(""https://docs.google.com/spreadsheets/d/1IYY_tgx_IHuhSq3AJ5eI5OnqOPBNLWSHKh2a30DoXe8/edit?usp=sharing"",""ปัตตานี!L354"")"),53225.94)</f>
        <v>53225.94</v>
      </c>
      <c r="M459" s="175"/>
      <c r="N459" s="175">
        <f ca="1">IFERROR(__xludf.DUMMYFUNCTION("IMPORTRANGE(""https://docs.google.com/spreadsheets/d/1IYY_tgx_IHuhSq3AJ5eI5OnqOPBNLWSHKh2a30DoXe8/edit?usp=sharing"",""ปัตตานี!M354"")"),22105)</f>
        <v>22105</v>
      </c>
      <c r="O459" s="175">
        <f t="shared" ca="1" si="116"/>
        <v>41.530501856801401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IFERROR(__xludf.DUMMYFUNCTION("IMPORTRANGE(""https://docs.google.com/spreadsheets/d/1IYY_tgx_IHuhSq3AJ5eI5OnqOPBNLWSHKh2a30DoXe8/edit?usp=sharing"",""ปัตตานี!M355"")"),0)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IFERROR(__xludf.DUMMYFUNCTION("IMPORTRANGE(""https://docs.google.com/spreadsheets/d/1IYY_tgx_IHuhSq3AJ5eI5OnqOPBNLWSHKh2a30DoXe8/edit?usp=sharing"",""ปัตตานี!M356"")"),0)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IFERROR(__xludf.DUMMYFUNCTION("IMPORTRANGE(""https://docs.google.com/spreadsheets/d/1IYY_tgx_IHuhSq3AJ5eI5OnqOPBNLWSHKh2a30DoXe8/edit?usp=sharing"",""ปัตตานี!M357"")"),0)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IFERROR(__xludf.DUMMYFUNCTION("IMPORTRANGE(""https://docs.google.com/spreadsheets/d/1IYY_tgx_IHuhSq3AJ5eI5OnqOPBNLWSHKh2a30DoXe8/edit?usp=sharing"",""ปัตตานี!M358"")"),22105)</f>
        <v>22105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IFERROR(__xludf.DUMMYFUNCTION("IMPORTRANGE(""https://docs.google.com/spreadsheets/d/1IYY_tgx_IHuhSq3AJ5eI5OnqOPBNLWSHKh2a30DoXe8/edit?usp=sharing"",""ปัตตานี!I359"")"),2341)</f>
        <v>2341</v>
      </c>
      <c r="J464" s="273">
        <f ca="1">IFERROR(__xludf.DUMMYFUNCTION("IMPORTRANGE(""https://docs.google.com/spreadsheets/d/1IYY_tgx_IHuhSq3AJ5eI5OnqOPBNLWSHKh2a30DoXe8/edit?usp=sharing"",""ปัตตานี!J359"")"),2341.08)</f>
        <v>2341.08</v>
      </c>
      <c r="K464" s="274">
        <f t="shared" ref="K464:K515" ca="1" si="117">IF(I464&gt;0,J464*100/I464,0)</f>
        <v>100.00341734301581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IFERROR(__xludf.DUMMYFUNCTION("IMPORTRANGE(""https://docs.google.com/spreadsheets/d/1IYY_tgx_IHuhSq3AJ5eI5OnqOPBNLWSHKh2a30DoXe8/edit?usp=sharing"",""ปัตตานี!I360"")"),2341)</f>
        <v>2341</v>
      </c>
      <c r="J465" s="426">
        <f ca="1">IFERROR(__xludf.DUMMYFUNCTION("IMPORTRANGE(""https://docs.google.com/spreadsheets/d/1IYY_tgx_IHuhSq3AJ5eI5OnqOPBNLWSHKh2a30DoXe8/edit?usp=sharing"",""ปัตตานี!J360"")"),2341.08)</f>
        <v>2341.08</v>
      </c>
      <c r="K465" s="208">
        <f t="shared" ca="1" si="117"/>
        <v>100.00341734301581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IFERROR(__xludf.DUMMYFUNCTION("IMPORTRANGE(""https://docs.google.com/spreadsheets/d/1IYY_tgx_IHuhSq3AJ5eI5OnqOPBNLWSHKh2a30DoXe8/edit?usp=sharing"",""ปัตตานี!I361"")"),396)</f>
        <v>396</v>
      </c>
      <c r="J466" s="426">
        <f ca="1">IFERROR(__xludf.DUMMYFUNCTION("IMPORTRANGE(""https://docs.google.com/spreadsheets/d/1IYY_tgx_IHuhSq3AJ5eI5OnqOPBNLWSHKh2a30DoXe8/edit?usp=sharing"",""ปัตตานี!J361"")"),396)</f>
        <v>396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IFERROR(__xludf.DUMMYFUNCTION("IMPORTRANGE(""https://docs.google.com/spreadsheets/d/1IYY_tgx_IHuhSq3AJ5eI5OnqOPBNLWSHKh2a30DoXe8/edit?usp=sharing"",""ปัตตานี!I362"")"),0)</f>
        <v>0</v>
      </c>
      <c r="J467" s="195">
        <f ca="1">IFERROR(__xludf.DUMMYFUNCTION("IMPORTRANGE(""https://docs.google.com/spreadsheets/d/1IYY_tgx_IHuhSq3AJ5eI5OnqOPBNLWSHKh2a30DoXe8/edit?usp=sharing"",""ปัตตานี!J362"")"),2216.29)</f>
        <v>2216.29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IFERROR(__xludf.DUMMYFUNCTION("IMPORTRANGE(""https://docs.google.com/spreadsheets/d/1IYY_tgx_IHuhSq3AJ5eI5OnqOPBNLWSHKh2a30DoXe8/edit?usp=sharing"",""ปัตตานี!I363"")"),0)</f>
        <v>0</v>
      </c>
      <c r="J468" s="195">
        <f ca="1">IFERROR(__xludf.DUMMYFUNCTION("IMPORTRANGE(""https://docs.google.com/spreadsheets/d/1IYY_tgx_IHuhSq3AJ5eI5OnqOPBNLWSHKh2a30DoXe8/edit?usp=sharing"",""ปัตตานี!J363"")"),379)</f>
        <v>379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IFERROR(__xludf.DUMMYFUNCTION("IMPORTRANGE(""https://docs.google.com/spreadsheets/d/1IYY_tgx_IHuhSq3AJ5eI5OnqOPBNLWSHKh2a30DoXe8/edit?usp=sharing"",""ปัตตานี!I364"")"),0)</f>
        <v>0</v>
      </c>
      <c r="J469" s="195">
        <f ca="1">IFERROR(__xludf.DUMMYFUNCTION("IMPORTRANGE(""https://docs.google.com/spreadsheets/d/1IYY_tgx_IHuhSq3AJ5eI5OnqOPBNLWSHKh2a30DoXe8/edit?usp=sharing"",""ปัตตานี!J364"")"),10.37)</f>
        <v>10.37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IFERROR(__xludf.DUMMYFUNCTION("IMPORTRANGE(""https://docs.google.com/spreadsheets/d/1IYY_tgx_IHuhSq3AJ5eI5OnqOPBNLWSHKh2a30DoXe8/edit?usp=sharing"",""ปัตตานี!I365"")"),0)</f>
        <v>0</v>
      </c>
      <c r="J470" s="195">
        <f ca="1">IFERROR(__xludf.DUMMYFUNCTION("IMPORTRANGE(""https://docs.google.com/spreadsheets/d/1IYY_tgx_IHuhSq3AJ5eI5OnqOPBNLWSHKh2a30DoXe8/edit?usp=sharing"",""ปัตตานี!J365"")"),2)</f>
        <v>2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IFERROR(__xludf.DUMMYFUNCTION("IMPORTRANGE(""https://docs.google.com/spreadsheets/d/1IYY_tgx_IHuhSq3AJ5eI5OnqOPBNLWSHKh2a30DoXe8/edit?usp=sharing"",""ปัตตานี!I366"")"),0)</f>
        <v>0</v>
      </c>
      <c r="J471" s="195">
        <f ca="1">IFERROR(__xludf.DUMMYFUNCTION("IMPORTRANGE(""https://docs.google.com/spreadsheets/d/1IYY_tgx_IHuhSq3AJ5eI5OnqOPBNLWSHKh2a30DoXe8/edit?usp=sharing"",""ปัตตานี!J366"")"),114.42)</f>
        <v>114.42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IFERROR(__xludf.DUMMYFUNCTION("IMPORTRANGE(""https://docs.google.com/spreadsheets/d/1IYY_tgx_IHuhSq3AJ5eI5OnqOPBNLWSHKh2a30DoXe8/edit?usp=sharing"",""ปัตตานี!I367"")"),0)</f>
        <v>0</v>
      </c>
      <c r="J472" s="195">
        <f ca="1">IFERROR(__xludf.DUMMYFUNCTION("IMPORTRANGE(""https://docs.google.com/spreadsheets/d/1IYY_tgx_IHuhSq3AJ5eI5OnqOPBNLWSHKh2a30DoXe8/edit?usp=sharing"",""ปัตตานี!J367"")"),15)</f>
        <v>15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IFERROR(__xludf.DUMMYFUNCTION("IMPORTRANGE(""https://docs.google.com/spreadsheets/d/1IYY_tgx_IHuhSq3AJ5eI5OnqOPBNLWSHKh2a30DoXe8/edit?usp=sharing"",""ปัตตานี!I368"")"),2341)</f>
        <v>2341</v>
      </c>
      <c r="J473" s="426">
        <f ca="1">IFERROR(__xludf.DUMMYFUNCTION("IMPORTRANGE(""https://docs.google.com/spreadsheets/d/1IYY_tgx_IHuhSq3AJ5eI5OnqOPBNLWSHKh2a30DoXe8/edit?usp=sharing"",""ปัตตานี!J368"")"),2341.08)</f>
        <v>2341.08</v>
      </c>
      <c r="K473" s="208">
        <f t="shared" ca="1" si="117"/>
        <v>100.00341734301581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IFERROR(__xludf.DUMMYFUNCTION("IMPORTRANGE(""https://docs.google.com/spreadsheets/d/1IYY_tgx_IHuhSq3AJ5eI5OnqOPBNLWSHKh2a30DoXe8/edit?usp=sharing"",""ปัตตานี!I369"")"),396)</f>
        <v>396</v>
      </c>
      <c r="J474" s="426">
        <f ca="1">IFERROR(__xludf.DUMMYFUNCTION("IMPORTRANGE(""https://docs.google.com/spreadsheets/d/1IYY_tgx_IHuhSq3AJ5eI5OnqOPBNLWSHKh2a30DoXe8/edit?usp=sharing"",""ปัตตานี!J369"")"),396)</f>
        <v>396</v>
      </c>
      <c r="K474" s="208">
        <f t="shared" ca="1" si="117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IFERROR(__xludf.DUMMYFUNCTION("IMPORTRANGE(""https://docs.google.com/spreadsheets/d/1IYY_tgx_IHuhSq3AJ5eI5OnqOPBNLWSHKh2a30DoXe8/edit?usp=sharing"",""ปัตตานี!I370"")"),0)</f>
        <v>0</v>
      </c>
      <c r="J475" s="195">
        <f ca="1">IFERROR(__xludf.DUMMYFUNCTION("IMPORTRANGE(""https://docs.google.com/spreadsheets/d/1IYY_tgx_IHuhSq3AJ5eI5OnqOPBNLWSHKh2a30DoXe8/edit?usp=sharing"",""ปัตตานี!J370"")"),2226.66)</f>
        <v>2226.66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IFERROR(__xludf.DUMMYFUNCTION("IMPORTRANGE(""https://docs.google.com/spreadsheets/d/1IYY_tgx_IHuhSq3AJ5eI5OnqOPBNLWSHKh2a30DoXe8/edit?usp=sharing"",""ปัตตานี!I371"")"),0)</f>
        <v>0</v>
      </c>
      <c r="J476" s="195">
        <f ca="1">IFERROR(__xludf.DUMMYFUNCTION("IMPORTRANGE(""https://docs.google.com/spreadsheets/d/1IYY_tgx_IHuhSq3AJ5eI5OnqOPBNLWSHKh2a30DoXe8/edit?usp=sharing"",""ปัตตานี!J371"")"),381)</f>
        <v>381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IFERROR(__xludf.DUMMYFUNCTION("IMPORTRANGE(""https://docs.google.com/spreadsheets/d/1IYY_tgx_IHuhSq3AJ5eI5OnqOPBNLWSHKh2a30DoXe8/edit?usp=sharing"",""ปัตตานี!I372"")"),0)</f>
        <v>0</v>
      </c>
      <c r="J477" s="195">
        <f ca="1">IFERROR(__xludf.DUMMYFUNCTION("IMPORTRANGE(""https://docs.google.com/spreadsheets/d/1IYY_tgx_IHuhSq3AJ5eI5OnqOPBNLWSHKh2a30DoXe8/edit?usp=sharing"",""ปัตตานี!J372"")"),0)</f>
        <v>0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IFERROR(__xludf.DUMMYFUNCTION("IMPORTRANGE(""https://docs.google.com/spreadsheets/d/1IYY_tgx_IHuhSq3AJ5eI5OnqOPBNLWSHKh2a30DoXe8/edit?usp=sharing"",""ปัตตานี!I373"")"),0)</f>
        <v>0</v>
      </c>
      <c r="J478" s="195">
        <f ca="1">IFERROR(__xludf.DUMMYFUNCTION("IMPORTRANGE(""https://docs.google.com/spreadsheets/d/1IYY_tgx_IHuhSq3AJ5eI5OnqOPBNLWSHKh2a30DoXe8/edit?usp=sharing"",""ปัตตานี!J373"")"),0)</f>
        <v>0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IFERROR(__xludf.DUMMYFUNCTION("IMPORTRANGE(""https://docs.google.com/spreadsheets/d/1IYY_tgx_IHuhSq3AJ5eI5OnqOPBNLWSHKh2a30DoXe8/edit?usp=sharing"",""ปัตตานี!I374"")"),0)</f>
        <v>0</v>
      </c>
      <c r="J479" s="195">
        <f ca="1">IFERROR(__xludf.DUMMYFUNCTION("IMPORTRANGE(""https://docs.google.com/spreadsheets/d/1IYY_tgx_IHuhSq3AJ5eI5OnqOPBNLWSHKh2a30DoXe8/edit?usp=sharing"",""ปัตตานี!J374"")"),114.42)</f>
        <v>114.42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IFERROR(__xludf.DUMMYFUNCTION("IMPORTRANGE(""https://docs.google.com/spreadsheets/d/1IYY_tgx_IHuhSq3AJ5eI5OnqOPBNLWSHKh2a30DoXe8/edit?usp=sharing"",""ปัตตานี!I375"")"),0)</f>
        <v>0</v>
      </c>
      <c r="J480" s="195">
        <f ca="1">IFERROR(__xludf.DUMMYFUNCTION("IMPORTRANGE(""https://docs.google.com/spreadsheets/d/1IYY_tgx_IHuhSq3AJ5eI5OnqOPBNLWSHKh2a30DoXe8/edit?usp=sharing"",""ปัตตานี!J375"")"),15)</f>
        <v>15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IFERROR(__xludf.DUMMYFUNCTION("IMPORTRANGE(""https://docs.google.com/spreadsheets/d/1IYY_tgx_IHuhSq3AJ5eI5OnqOPBNLWSHKh2a30DoXe8/edit?usp=sharing"",""ปัตตานี!I376"")"),2341)</f>
        <v>2341</v>
      </c>
      <c r="J481" s="426">
        <f ca="1">IFERROR(__xludf.DUMMYFUNCTION("IMPORTRANGE(""https://docs.google.com/spreadsheets/d/1IYY_tgx_IHuhSq3AJ5eI5OnqOPBNLWSHKh2a30DoXe8/edit?usp=sharing"",""ปัตตานี!J376"")"),2341.08)</f>
        <v>2341.08</v>
      </c>
      <c r="K481" s="208">
        <f t="shared" ca="1" si="117"/>
        <v>100.00341734301581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IFERROR(__xludf.DUMMYFUNCTION("IMPORTRANGE(""https://docs.google.com/spreadsheets/d/1IYY_tgx_IHuhSq3AJ5eI5OnqOPBNLWSHKh2a30DoXe8/edit?usp=sharing"",""ปัตตานี!I377"")"),396)</f>
        <v>396</v>
      </c>
      <c r="J482" s="426">
        <f ca="1">IFERROR(__xludf.DUMMYFUNCTION("IMPORTRANGE(""https://docs.google.com/spreadsheets/d/1IYY_tgx_IHuhSq3AJ5eI5OnqOPBNLWSHKh2a30DoXe8/edit?usp=sharing"",""ปัตตานี!J377"")"),396)</f>
        <v>396</v>
      </c>
      <c r="K482" s="208">
        <f t="shared" ca="1" si="117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IFERROR(__xludf.DUMMYFUNCTION("IMPORTRANGE(""https://docs.google.com/spreadsheets/d/1IYY_tgx_IHuhSq3AJ5eI5OnqOPBNLWSHKh2a30DoXe8/edit?usp=sharing"",""ปัตตานี!I378"")"),0)</f>
        <v>0</v>
      </c>
      <c r="J483" s="195">
        <f ca="1">IFERROR(__xludf.DUMMYFUNCTION("IMPORTRANGE(""https://docs.google.com/spreadsheets/d/1IYY_tgx_IHuhSq3AJ5eI5OnqOPBNLWSHKh2a30DoXe8/edit?usp=sharing"",""ปัตตานี!J378"")"),2226.66)</f>
        <v>2226.66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IFERROR(__xludf.DUMMYFUNCTION("IMPORTRANGE(""https://docs.google.com/spreadsheets/d/1IYY_tgx_IHuhSq3AJ5eI5OnqOPBNLWSHKh2a30DoXe8/edit?usp=sharing"",""ปัตตานี!I379"")"),0)</f>
        <v>0</v>
      </c>
      <c r="J484" s="195">
        <f ca="1">IFERROR(__xludf.DUMMYFUNCTION("IMPORTRANGE(""https://docs.google.com/spreadsheets/d/1IYY_tgx_IHuhSq3AJ5eI5OnqOPBNLWSHKh2a30DoXe8/edit?usp=sharing"",""ปัตตานี!J379"")"),381)</f>
        <v>381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IFERROR(__xludf.DUMMYFUNCTION("IMPORTRANGE(""https://docs.google.com/spreadsheets/d/1IYY_tgx_IHuhSq3AJ5eI5OnqOPBNLWSHKh2a30DoXe8/edit?usp=sharing"",""ปัตตานี!I380"")"),0)</f>
        <v>0</v>
      </c>
      <c r="J485" s="195">
        <f ca="1">IFERROR(__xludf.DUMMYFUNCTION("IMPORTRANGE(""https://docs.google.com/spreadsheets/d/1IYY_tgx_IHuhSq3AJ5eI5OnqOPBNLWSHKh2a30DoXe8/edit?usp=sharing"",""ปัตตานี!J380"")"),0)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IFERROR(__xludf.DUMMYFUNCTION("IMPORTRANGE(""https://docs.google.com/spreadsheets/d/1IYY_tgx_IHuhSq3AJ5eI5OnqOPBNLWSHKh2a30DoXe8/edit?usp=sharing"",""ปัตตานี!I381"")"),0)</f>
        <v>0</v>
      </c>
      <c r="J486" s="195">
        <f ca="1">IFERROR(__xludf.DUMMYFUNCTION("IMPORTRANGE(""https://docs.google.com/spreadsheets/d/1IYY_tgx_IHuhSq3AJ5eI5OnqOPBNLWSHKh2a30DoXe8/edit?usp=sharing"",""ปัตตานี!J381"")"),0)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IFERROR(__xludf.DUMMYFUNCTION("IMPORTRANGE(""https://docs.google.com/spreadsheets/d/1IYY_tgx_IHuhSq3AJ5eI5OnqOPBNLWSHKh2a30DoXe8/edit?usp=sharing"",""ปัตตานี!I382"")"),0)</f>
        <v>0</v>
      </c>
      <c r="J487" s="426">
        <f ca="1">IFERROR(__xludf.DUMMYFUNCTION("IMPORTRANGE(""https://docs.google.com/spreadsheets/d/1IYY_tgx_IHuhSq3AJ5eI5OnqOPBNLWSHKh2a30DoXe8/edit?usp=sharing"",""ปัตตานี!J382"")"),114.42)</f>
        <v>114.42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IFERROR(__xludf.DUMMYFUNCTION("IMPORTRANGE(""https://docs.google.com/spreadsheets/d/1IYY_tgx_IHuhSq3AJ5eI5OnqOPBNLWSHKh2a30DoXe8/edit?usp=sharing"",""ปัตตานี!I383"")"),0)</f>
        <v>0</v>
      </c>
      <c r="J488" s="426">
        <f ca="1">IFERROR(__xludf.DUMMYFUNCTION("IMPORTRANGE(""https://docs.google.com/spreadsheets/d/1IYY_tgx_IHuhSq3AJ5eI5OnqOPBNLWSHKh2a30DoXe8/edit?usp=sharing"",""ปัตตานี!J383"")"),15)</f>
        <v>15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IFERROR(__xludf.DUMMYFUNCTION("IMPORTRANGE(""https://docs.google.com/spreadsheets/d/1IYY_tgx_IHuhSq3AJ5eI5OnqOPBNLWSHKh2a30DoXe8/edit?usp=sharing"",""ปัตตานี!I384"")"),0)</f>
        <v>0</v>
      </c>
      <c r="J489" s="195">
        <f ca="1">IFERROR(__xludf.DUMMYFUNCTION("IMPORTRANGE(""https://docs.google.com/spreadsheets/d/1IYY_tgx_IHuhSq3AJ5eI5OnqOPBNLWSHKh2a30DoXe8/edit?usp=sharing"",""ปัตตานี!J384"")"),114.42)</f>
        <v>114.42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IFERROR(__xludf.DUMMYFUNCTION("IMPORTRANGE(""https://docs.google.com/spreadsheets/d/1IYY_tgx_IHuhSq3AJ5eI5OnqOPBNLWSHKh2a30DoXe8/edit?usp=sharing"",""ปัตตานี!I385"")"),0)</f>
        <v>0</v>
      </c>
      <c r="J490" s="195">
        <f ca="1">IFERROR(__xludf.DUMMYFUNCTION("IMPORTRANGE(""https://docs.google.com/spreadsheets/d/1IYY_tgx_IHuhSq3AJ5eI5OnqOPBNLWSHKh2a30DoXe8/edit?usp=sharing"",""ปัตตานี!J385"")"),15)</f>
        <v>15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IFERROR(__xludf.DUMMYFUNCTION("IMPORTRANGE(""https://docs.google.com/spreadsheets/d/1IYY_tgx_IHuhSq3AJ5eI5OnqOPBNLWSHKh2a30DoXe8/edit?usp=sharing"",""ปัตตานี!I386"")"),0)</f>
        <v>0</v>
      </c>
      <c r="J491" s="195">
        <f ca="1">IFERROR(__xludf.DUMMYFUNCTION("IMPORTRANGE(""https://docs.google.com/spreadsheets/d/1IYY_tgx_IHuhSq3AJ5eI5OnqOPBNLWSHKh2a30DoXe8/edit?usp=sharing"",""ปัตตานี!J386"")"),0)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IFERROR(__xludf.DUMMYFUNCTION("IMPORTRANGE(""https://docs.google.com/spreadsheets/d/1IYY_tgx_IHuhSq3AJ5eI5OnqOPBNLWSHKh2a30DoXe8/edit?usp=sharing"",""ปัตตานี!I387"")"),0)</f>
        <v>0</v>
      </c>
      <c r="J492" s="195">
        <f ca="1">IFERROR(__xludf.DUMMYFUNCTION("IMPORTRANGE(""https://docs.google.com/spreadsheets/d/1IYY_tgx_IHuhSq3AJ5eI5OnqOPBNLWSHKh2a30DoXe8/edit?usp=sharing"",""ปัตตานี!J387"")"),0)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IFERROR(__xludf.DUMMYFUNCTION("IMPORTRANGE(""https://docs.google.com/spreadsheets/d/1IYY_tgx_IHuhSq3AJ5eI5OnqOPBNLWSHKh2a30DoXe8/edit?usp=sharing"",""ปัตตานี!I388"")"),0)</f>
        <v>0</v>
      </c>
      <c r="J493" s="195">
        <f ca="1">IFERROR(__xludf.DUMMYFUNCTION("IMPORTRANGE(""https://docs.google.com/spreadsheets/d/1IYY_tgx_IHuhSq3AJ5eI5OnqOPBNLWSHKh2a30DoXe8/edit?usp=sharing"",""ปัตตานี!J388"")"),0)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IFERROR(__xludf.DUMMYFUNCTION("IMPORTRANGE(""https://docs.google.com/spreadsheets/d/1IYY_tgx_IHuhSq3AJ5eI5OnqOPBNLWSHKh2a30DoXe8/edit?usp=sharing"",""ปัตตานี!I389"")"),0)</f>
        <v>0</v>
      </c>
      <c r="J494" s="442">
        <f ca="1">IFERROR(__xludf.DUMMYFUNCTION("IMPORTRANGE(""https://docs.google.com/spreadsheets/d/1IYY_tgx_IHuhSq3AJ5eI5OnqOPBNLWSHKh2a30DoXe8/edit?usp=sharing"",""ปัตตานี!J389"")"),0)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IFERROR(__xludf.DUMMYFUNCTION("IMPORTRANGE(""https://docs.google.com/spreadsheets/d/1IYY_tgx_IHuhSq3AJ5eI5OnqOPBNLWSHKh2a30DoXe8/edit?usp=sharing"",""ปัตตานี!I390"")"),0)</f>
        <v>0</v>
      </c>
      <c r="J495" s="442">
        <f ca="1">IFERROR(__xludf.DUMMYFUNCTION("IMPORTRANGE(""https://docs.google.com/spreadsheets/d/1IYY_tgx_IHuhSq3AJ5eI5OnqOPBNLWSHKh2a30DoXe8/edit?usp=sharing"",""ปัตตานี!J390"")"),0)</f>
        <v>0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IFERROR(__xludf.DUMMYFUNCTION("IMPORTRANGE(""https://docs.google.com/spreadsheets/d/1IYY_tgx_IHuhSq3AJ5eI5OnqOPBNLWSHKh2a30DoXe8/edit?usp=sharing"",""ปัตตานี!I391"")"),0)</f>
        <v>0</v>
      </c>
      <c r="J496" s="442">
        <f ca="1">IFERROR(__xludf.DUMMYFUNCTION("IMPORTRANGE(""https://docs.google.com/spreadsheets/d/1IYY_tgx_IHuhSq3AJ5eI5OnqOPBNLWSHKh2a30DoXe8/edit?usp=sharing"",""ปัตตานี!J391"")"),0)</f>
        <v>0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IFERROR(__xludf.DUMMYFUNCTION("IMPORTRANGE(""https://docs.google.com/spreadsheets/d/1IYY_tgx_IHuhSq3AJ5eI5OnqOPBNLWSHKh2a30DoXe8/edit?usp=sharing"",""ปัตตานี!I392"")"),0)</f>
        <v>0</v>
      </c>
      <c r="J497" s="449">
        <f ca="1">IFERROR(__xludf.DUMMYFUNCTION("IMPORTRANGE(""https://docs.google.com/spreadsheets/d/1IYY_tgx_IHuhSq3AJ5eI5OnqOPBNLWSHKh2a30DoXe8/edit?usp=sharing"",""ปัตตานี!J392"")"),0)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IFERROR(__xludf.DUMMYFUNCTION("IMPORTRANGE(""https://docs.google.com/spreadsheets/d/1IYY_tgx_IHuhSq3AJ5eI5OnqOPBNLWSHKh2a30DoXe8/edit?usp=sharing"",""ปัตตานี!I393"")"),0)</f>
        <v>0</v>
      </c>
      <c r="J498" s="426">
        <f ca="1">IFERROR(__xludf.DUMMYFUNCTION("IMPORTRANGE(""https://docs.google.com/spreadsheets/d/1IYY_tgx_IHuhSq3AJ5eI5OnqOPBNLWSHKh2a30DoXe8/edit?usp=sharing"",""ปัตตานี!J393"")"),0)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IFERROR(__xludf.DUMMYFUNCTION("IMPORTRANGE(""https://docs.google.com/spreadsheets/d/1IYY_tgx_IHuhSq3AJ5eI5OnqOPBNLWSHKh2a30DoXe8/edit?usp=sharing"",""ปัตตานี!I394"")"),0)</f>
        <v>0</v>
      </c>
      <c r="J499" s="426">
        <f ca="1">IFERROR(__xludf.DUMMYFUNCTION("IMPORTRANGE(""https://docs.google.com/spreadsheets/d/1IYY_tgx_IHuhSq3AJ5eI5OnqOPBNLWSHKh2a30DoXe8/edit?usp=sharing"",""ปัตตานี!J394"")"),0)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IFERROR(__xludf.DUMMYFUNCTION("IMPORTRANGE(""https://docs.google.com/spreadsheets/d/1IYY_tgx_IHuhSq3AJ5eI5OnqOPBNLWSHKh2a30DoXe8/edit?usp=sharing"",""ปัตตานี!I395"")"),0)</f>
        <v>0</v>
      </c>
      <c r="J500" s="166">
        <f ca="1">IFERROR(__xludf.DUMMYFUNCTION("IMPORTRANGE(""https://docs.google.com/spreadsheets/d/1IYY_tgx_IHuhSq3AJ5eI5OnqOPBNLWSHKh2a30DoXe8/edit?usp=sharing"",""ปัตตานี!J395"")"),0)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IFERROR(__xludf.DUMMYFUNCTION("IMPORTRANGE(""https://docs.google.com/spreadsheets/d/1IYY_tgx_IHuhSq3AJ5eI5OnqOPBNLWSHKh2a30DoXe8/edit?usp=sharing"",""ปัตตานี!I396"")"),0)</f>
        <v>0</v>
      </c>
      <c r="J501" s="166">
        <f ca="1">IFERROR(__xludf.DUMMYFUNCTION("IMPORTRANGE(""https://docs.google.com/spreadsheets/d/1IYY_tgx_IHuhSq3AJ5eI5OnqOPBNLWSHKh2a30DoXe8/edit?usp=sharing"",""ปัตตานี!J396"")"),0)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IFERROR(__xludf.DUMMYFUNCTION("IMPORTRANGE(""https://docs.google.com/spreadsheets/d/1IYY_tgx_IHuhSq3AJ5eI5OnqOPBNLWSHKh2a30DoXe8/edit?usp=sharing"",""ปัตตานี!I397"")"),0)</f>
        <v>0</v>
      </c>
      <c r="J502" s="195">
        <f ca="1">IFERROR(__xludf.DUMMYFUNCTION("IMPORTRANGE(""https://docs.google.com/spreadsheets/d/1IYY_tgx_IHuhSq3AJ5eI5OnqOPBNLWSHKh2a30DoXe8/edit?usp=sharing"",""ปัตตานี!J397"")"),0)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IFERROR(__xludf.DUMMYFUNCTION("IMPORTRANGE(""https://docs.google.com/spreadsheets/d/1IYY_tgx_IHuhSq3AJ5eI5OnqOPBNLWSHKh2a30DoXe8/edit?usp=sharing"",""ปัตตานี!I398"")"),0)</f>
        <v>0</v>
      </c>
      <c r="J503" s="204">
        <f ca="1">IFERROR(__xludf.DUMMYFUNCTION("IMPORTRANGE(""https://docs.google.com/spreadsheets/d/1IYY_tgx_IHuhSq3AJ5eI5OnqOPBNLWSHKh2a30DoXe8/edit?usp=sharing"",""ปัตตานี!J398"")"),0)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IFERROR(__xludf.DUMMYFUNCTION("IMPORTRANGE(""https://docs.google.com/spreadsheets/d/1IYY_tgx_IHuhSq3AJ5eI5OnqOPBNLWSHKh2a30DoXe8/edit?usp=sharing"",""ปัตตานี!I399"")"),0)</f>
        <v>0</v>
      </c>
      <c r="J504" s="195">
        <f ca="1">IFERROR(__xludf.DUMMYFUNCTION("IMPORTRANGE(""https://docs.google.com/spreadsheets/d/1IYY_tgx_IHuhSq3AJ5eI5OnqOPBNLWSHKh2a30DoXe8/edit?usp=sharing"",""ปัตตานี!J399"")"),0)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IFERROR(__xludf.DUMMYFUNCTION("IMPORTRANGE(""https://docs.google.com/spreadsheets/d/1IYY_tgx_IHuhSq3AJ5eI5OnqOPBNLWSHKh2a30DoXe8/edit?usp=sharing"",""ปัตตานี!I400"")"),0)</f>
        <v>0</v>
      </c>
      <c r="J505" s="204">
        <f ca="1">IFERROR(__xludf.DUMMYFUNCTION("IMPORTRANGE(""https://docs.google.com/spreadsheets/d/1IYY_tgx_IHuhSq3AJ5eI5OnqOPBNLWSHKh2a30DoXe8/edit?usp=sharing"",""ปัตตานี!J400"")"),0)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IFERROR(__xludf.DUMMYFUNCTION("IMPORTRANGE(""https://docs.google.com/spreadsheets/d/1IYY_tgx_IHuhSq3AJ5eI5OnqOPBNLWSHKh2a30DoXe8/edit?usp=sharing"",""ปัตตานี!I401"")"),0)</f>
        <v>0</v>
      </c>
      <c r="J506" s="195">
        <f ca="1">IFERROR(__xludf.DUMMYFUNCTION("IMPORTRANGE(""https://docs.google.com/spreadsheets/d/1IYY_tgx_IHuhSq3AJ5eI5OnqOPBNLWSHKh2a30DoXe8/edit?usp=sharing"",""ปัตตานี!J401"")"),0)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IFERROR(__xludf.DUMMYFUNCTION("IMPORTRANGE(""https://docs.google.com/spreadsheets/d/1IYY_tgx_IHuhSq3AJ5eI5OnqOPBNLWSHKh2a30DoXe8/edit?usp=sharing"",""ปัตตานี!I402"")"),0)</f>
        <v>0</v>
      </c>
      <c r="J507" s="204">
        <f ca="1">IFERROR(__xludf.DUMMYFUNCTION("IMPORTRANGE(""https://docs.google.com/spreadsheets/d/1IYY_tgx_IHuhSq3AJ5eI5OnqOPBNLWSHKh2a30DoXe8/edit?usp=sharing"",""ปัตตานี!J402"")"),0)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IFERROR(__xludf.DUMMYFUNCTION("IMPORTRANGE(""https://docs.google.com/spreadsheets/d/1IYY_tgx_IHuhSq3AJ5eI5OnqOPBNLWSHKh2a30DoXe8/edit?usp=sharing"",""ปัตตานี!I403"")"),0)</f>
        <v>0</v>
      </c>
      <c r="J508" s="166">
        <f ca="1">IFERROR(__xludf.DUMMYFUNCTION("IMPORTRANGE(""https://docs.google.com/spreadsheets/d/1IYY_tgx_IHuhSq3AJ5eI5OnqOPBNLWSHKh2a30DoXe8/edit?usp=sharing"",""ปัตตานี!J403"")"),0)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IFERROR(__xludf.DUMMYFUNCTION("IMPORTRANGE(""https://docs.google.com/spreadsheets/d/1IYY_tgx_IHuhSq3AJ5eI5OnqOPBNLWSHKh2a30DoXe8/edit?usp=sharing"",""ปัตตานี!I404"")"),0)</f>
        <v>0</v>
      </c>
      <c r="J509" s="166">
        <f ca="1">IFERROR(__xludf.DUMMYFUNCTION("IMPORTRANGE(""https://docs.google.com/spreadsheets/d/1IYY_tgx_IHuhSq3AJ5eI5OnqOPBNLWSHKh2a30DoXe8/edit?usp=sharing"",""ปัตตานี!J404"")"),0)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IFERROR(__xludf.DUMMYFUNCTION("IMPORTRANGE(""https://docs.google.com/spreadsheets/d/1IYY_tgx_IHuhSq3AJ5eI5OnqOPBNLWSHKh2a30DoXe8/edit?usp=sharing"",""ปัตตานี!I405"")"),0)</f>
        <v>0</v>
      </c>
      <c r="J510" s="204">
        <f ca="1">IFERROR(__xludf.DUMMYFUNCTION("IMPORTRANGE(""https://docs.google.com/spreadsheets/d/1IYY_tgx_IHuhSq3AJ5eI5OnqOPBNLWSHKh2a30DoXe8/edit?usp=sharing"",""ปัตตานี!J405"")"),0)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IFERROR(__xludf.DUMMYFUNCTION("IMPORTRANGE(""https://docs.google.com/spreadsheets/d/1IYY_tgx_IHuhSq3AJ5eI5OnqOPBNLWSHKh2a30DoXe8/edit?usp=sharing"",""ปัตตานี!I406"")"),0)</f>
        <v>0</v>
      </c>
      <c r="J511" s="204">
        <f ca="1">IFERROR(__xludf.DUMMYFUNCTION("IMPORTRANGE(""https://docs.google.com/spreadsheets/d/1IYY_tgx_IHuhSq3AJ5eI5OnqOPBNLWSHKh2a30DoXe8/edit?usp=sharing"",""ปัตตานี!J406"")"),0)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IFERROR(__xludf.DUMMYFUNCTION("IMPORTRANGE(""https://docs.google.com/spreadsheets/d/1IYY_tgx_IHuhSq3AJ5eI5OnqOPBNLWSHKh2a30DoXe8/edit?usp=sharing"",""ปัตตานี!I407"")"),0)</f>
        <v>0</v>
      </c>
      <c r="J512" s="204">
        <f ca="1">IFERROR(__xludf.DUMMYFUNCTION("IMPORTRANGE(""https://docs.google.com/spreadsheets/d/1IYY_tgx_IHuhSq3AJ5eI5OnqOPBNLWSHKh2a30DoXe8/edit?usp=sharing"",""ปัตตานี!J407"")"),0)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IFERROR(__xludf.DUMMYFUNCTION("IMPORTRANGE(""https://docs.google.com/spreadsheets/d/1IYY_tgx_IHuhSq3AJ5eI5OnqOPBNLWSHKh2a30DoXe8/edit?usp=sharing"",""ปัตตานี!I408"")"),0)</f>
        <v>0</v>
      </c>
      <c r="J513" s="204">
        <f ca="1">IFERROR(__xludf.DUMMYFUNCTION("IMPORTRANGE(""https://docs.google.com/spreadsheets/d/1IYY_tgx_IHuhSq3AJ5eI5OnqOPBNLWSHKh2a30DoXe8/edit?usp=sharing"",""ปัตตานี!J408"")"),0)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IFERROR(__xludf.DUMMYFUNCTION("IMPORTRANGE(""https://docs.google.com/spreadsheets/d/1IYY_tgx_IHuhSq3AJ5eI5OnqOPBNLWSHKh2a30DoXe8/edit?usp=sharing"",""ปัตตานี!I409"")"),0)</f>
        <v>0</v>
      </c>
      <c r="J514" s="204">
        <f ca="1">IFERROR(__xludf.DUMMYFUNCTION("IMPORTRANGE(""https://docs.google.com/spreadsheets/d/1IYY_tgx_IHuhSq3AJ5eI5OnqOPBNLWSHKh2a30DoXe8/edit?usp=sharing"",""ปัตตานี!J409"")"),0)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IFERROR(__xludf.DUMMYFUNCTION("IMPORTRANGE(""https://docs.google.com/spreadsheets/d/1IYY_tgx_IHuhSq3AJ5eI5OnqOPBNLWSHKh2a30DoXe8/edit?usp=sharing"",""ปัตตานี!I410"")"),0)</f>
        <v>0</v>
      </c>
      <c r="J515" s="204">
        <f ca="1">IFERROR(__xludf.DUMMYFUNCTION("IMPORTRANGE(""https://docs.google.com/spreadsheets/d/1IYY_tgx_IHuhSq3AJ5eI5OnqOPBNLWSHKh2a30DoXe8/edit?usp=sharing"",""ปัตตานี!J410"")"),0)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IFERROR(__xludf.DUMMYFUNCTION("IMPORTRANGE(""https://docs.google.com/spreadsheets/d/1IYY_tgx_IHuhSq3AJ5eI5OnqOPBNLWSHKh2a30DoXe8/edit?usp=sharing"",""ปัตตานี!I411"")"),0)</f>
        <v>0</v>
      </c>
      <c r="J516" s="273">
        <f ca="1">IFERROR(__xludf.DUMMYFUNCTION("IMPORTRANGE(""https://docs.google.com/spreadsheets/d/1IYY_tgx_IHuhSq3AJ5eI5OnqOPBNLWSHKh2a30DoXe8/edit?usp=sharing"",""ปัตตานี!J411"")"),0)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IFERROR(__xludf.DUMMYFUNCTION("IMPORTRANGE(""https://docs.google.com/spreadsheets/d/1IYY_tgx_IHuhSq3AJ5eI5OnqOPBNLWSHKh2a30DoXe8/edit?usp=sharing"",""ปัตตานี!I412"")"),0)</f>
        <v>0</v>
      </c>
      <c r="J517" s="290">
        <f ca="1">IFERROR(__xludf.DUMMYFUNCTION("IMPORTRANGE(""https://docs.google.com/spreadsheets/d/1IYY_tgx_IHuhSq3AJ5eI5OnqOPBNLWSHKh2a30DoXe8/edit?usp=sharing"",""ปัตตานี!J412"")"),0)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IFERROR(__xludf.DUMMYFUNCTION("IMPORTRANGE(""https://docs.google.com/spreadsheets/d/1IYY_tgx_IHuhSq3AJ5eI5OnqOPBNLWSHKh2a30DoXe8/edit?usp=sharing"",""ปัตตานี!I413"")"),0)</f>
        <v>0</v>
      </c>
      <c r="J518" s="290">
        <f ca="1">IFERROR(__xludf.DUMMYFUNCTION("IMPORTRANGE(""https://docs.google.com/spreadsheets/d/1IYY_tgx_IHuhSq3AJ5eI5OnqOPBNLWSHKh2a30DoXe8/edit?usp=sharing"",""ปัตตานี!J413"")"),0)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IFERROR(__xludf.DUMMYFUNCTION("IMPORTRANGE(""https://docs.google.com/spreadsheets/d/1IYY_tgx_IHuhSq3AJ5eI5OnqOPBNLWSHKh2a30DoXe8/edit?usp=sharing"",""ปัตตานี!I414"")"),0)</f>
        <v>0</v>
      </c>
      <c r="J519" s="194">
        <f ca="1">IFERROR(__xludf.DUMMYFUNCTION("IMPORTRANGE(""https://docs.google.com/spreadsheets/d/1IYY_tgx_IHuhSq3AJ5eI5OnqOPBNLWSHKh2a30DoXe8/edit?usp=sharing"",""ปัตตานี!J414"")"),0)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IFERROR(__xludf.DUMMYFUNCTION("IMPORTRANGE(""https://docs.google.com/spreadsheets/d/1IYY_tgx_IHuhSq3AJ5eI5OnqOPBNLWSHKh2a30DoXe8/edit?usp=sharing"",""ปัตตานี!I415"")"),0)</f>
        <v>0</v>
      </c>
      <c r="J520" s="194">
        <f ca="1">IFERROR(__xludf.DUMMYFUNCTION("IMPORTRANGE(""https://docs.google.com/spreadsheets/d/1IYY_tgx_IHuhSq3AJ5eI5OnqOPBNLWSHKh2a30DoXe8/edit?usp=sharing"",""ปัตตานี!J415"")"),0)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IFERROR(__xludf.DUMMYFUNCTION("IMPORTRANGE(""https://docs.google.com/spreadsheets/d/1IYY_tgx_IHuhSq3AJ5eI5OnqOPBNLWSHKh2a30DoXe8/edit?usp=sharing"",""ปัตตานี!I416"")"),0)</f>
        <v>0</v>
      </c>
      <c r="J521" s="194">
        <f ca="1">IFERROR(__xludf.DUMMYFUNCTION("IMPORTRANGE(""https://docs.google.com/spreadsheets/d/1IYY_tgx_IHuhSq3AJ5eI5OnqOPBNLWSHKh2a30DoXe8/edit?usp=sharing"",""ปัตตานี!J416"")"),0)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IFERROR(__xludf.DUMMYFUNCTION("IMPORTRANGE(""https://docs.google.com/spreadsheets/d/1IYY_tgx_IHuhSq3AJ5eI5OnqOPBNLWSHKh2a30DoXe8/edit?usp=sharing"",""ปัตตานี!I417"")"),0)</f>
        <v>0</v>
      </c>
      <c r="J522" s="194">
        <f ca="1">IFERROR(__xludf.DUMMYFUNCTION("IMPORTRANGE(""https://docs.google.com/spreadsheets/d/1IYY_tgx_IHuhSq3AJ5eI5OnqOPBNLWSHKh2a30DoXe8/edit?usp=sharing"",""ปัตตานี!J417"")"),0)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IFERROR(__xludf.DUMMYFUNCTION("IMPORTRANGE(""https://docs.google.com/spreadsheets/d/1IYY_tgx_IHuhSq3AJ5eI5OnqOPBNLWSHKh2a30DoXe8/edit?usp=sharing"",""ปัตตานี!I418"")"),0)</f>
        <v>0</v>
      </c>
      <c r="J523" s="194">
        <f ca="1">IFERROR(__xludf.DUMMYFUNCTION("IMPORTRANGE(""https://docs.google.com/spreadsheets/d/1IYY_tgx_IHuhSq3AJ5eI5OnqOPBNLWSHKh2a30DoXe8/edit?usp=sharing"",""ปัตตานี!J418"")"),0)</f>
        <v>0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IFERROR(__xludf.DUMMYFUNCTION("IMPORTRANGE(""https://docs.google.com/spreadsheets/d/1IYY_tgx_IHuhSq3AJ5eI5OnqOPBNLWSHKh2a30DoXe8/edit?usp=sharing"",""ปัตตานี!I419"")"),0)</f>
        <v>0</v>
      </c>
      <c r="J524" s="194">
        <f ca="1">IFERROR(__xludf.DUMMYFUNCTION("IMPORTRANGE(""https://docs.google.com/spreadsheets/d/1IYY_tgx_IHuhSq3AJ5eI5OnqOPBNLWSHKh2a30DoXe8/edit?usp=sharing"",""ปัตตานี!J419"")"),0)</f>
        <v>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IFERROR(__xludf.DUMMYFUNCTION("IMPORTRANGE(""https://docs.google.com/spreadsheets/d/1IYY_tgx_IHuhSq3AJ5eI5OnqOPBNLWSHKh2a30DoXe8/edit?usp=sharing"",""ปัตตานี!I420"")"),0)</f>
        <v>0</v>
      </c>
      <c r="J525" s="290">
        <f ca="1">IFERROR(__xludf.DUMMYFUNCTION("IMPORTRANGE(""https://docs.google.com/spreadsheets/d/1IYY_tgx_IHuhSq3AJ5eI5OnqOPBNLWSHKh2a30DoXe8/edit?usp=sharing"",""ปัตตานี!J420"")"),0)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IFERROR(__xludf.DUMMYFUNCTION("IMPORTRANGE(""https://docs.google.com/spreadsheets/d/1IYY_tgx_IHuhSq3AJ5eI5OnqOPBNLWSHKh2a30DoXe8/edit?usp=sharing"",""ปัตตานี!I421"")"),0)</f>
        <v>0</v>
      </c>
      <c r="J526" s="290">
        <f ca="1">IFERROR(__xludf.DUMMYFUNCTION("IMPORTRANGE(""https://docs.google.com/spreadsheets/d/1IYY_tgx_IHuhSq3AJ5eI5OnqOPBNLWSHKh2a30DoXe8/edit?usp=sharing"",""ปัตตานี!J421"")"),0)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IFERROR(__xludf.DUMMYFUNCTION("IMPORTRANGE(""https://docs.google.com/spreadsheets/d/1IYY_tgx_IHuhSq3AJ5eI5OnqOPBNLWSHKh2a30DoXe8/edit?usp=sharing"",""ปัตตานี!I422"")"),0)</f>
        <v>0</v>
      </c>
      <c r="J527" s="204">
        <f ca="1">IFERROR(__xludf.DUMMYFUNCTION("IMPORTRANGE(""https://docs.google.com/spreadsheets/d/1IYY_tgx_IHuhSq3AJ5eI5OnqOPBNLWSHKh2a30DoXe8/edit?usp=sharing"",""ปัตตานี!J422"")"),0)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IFERROR(__xludf.DUMMYFUNCTION("IMPORTRANGE(""https://docs.google.com/spreadsheets/d/1IYY_tgx_IHuhSq3AJ5eI5OnqOPBNLWSHKh2a30DoXe8/edit?usp=sharing"",""ปัตตานี!I423"")"),0)</f>
        <v>0</v>
      </c>
      <c r="J528" s="204">
        <f ca="1">IFERROR(__xludf.DUMMYFUNCTION("IMPORTRANGE(""https://docs.google.com/spreadsheets/d/1IYY_tgx_IHuhSq3AJ5eI5OnqOPBNLWSHKh2a30DoXe8/edit?usp=sharing"",""ปัตตานี!J423"")"),0)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IFERROR(__xludf.DUMMYFUNCTION("IMPORTRANGE(""https://docs.google.com/spreadsheets/d/1IYY_tgx_IHuhSq3AJ5eI5OnqOPBNLWSHKh2a30DoXe8/edit?usp=sharing"",""ปัตตานี!I424"")"),0)</f>
        <v>0</v>
      </c>
      <c r="J529" s="204">
        <f ca="1">IFERROR(__xludf.DUMMYFUNCTION("IMPORTRANGE(""https://docs.google.com/spreadsheets/d/1IYY_tgx_IHuhSq3AJ5eI5OnqOPBNLWSHKh2a30DoXe8/edit?usp=sharing"",""ปัตตานี!J424"")"),0)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IFERROR(__xludf.DUMMYFUNCTION("IMPORTRANGE(""https://docs.google.com/spreadsheets/d/1IYY_tgx_IHuhSq3AJ5eI5OnqOPBNLWSHKh2a30DoXe8/edit?usp=sharing"",""ปัตตานี!I425"")"),0)</f>
        <v>0</v>
      </c>
      <c r="J530" s="204">
        <f ca="1">IFERROR(__xludf.DUMMYFUNCTION("IMPORTRANGE(""https://docs.google.com/spreadsheets/d/1IYY_tgx_IHuhSq3AJ5eI5OnqOPBNLWSHKh2a30DoXe8/edit?usp=sharing"",""ปัตตานี!J425"")"),0)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IFERROR(__xludf.DUMMYFUNCTION("IMPORTRANGE(""https://docs.google.com/spreadsheets/d/1IYY_tgx_IHuhSq3AJ5eI5OnqOPBNLWSHKh2a30DoXe8/edit?usp=sharing"",""ปัตตานี!I426"")"),0)</f>
        <v>0</v>
      </c>
      <c r="J531" s="204">
        <f ca="1">IFERROR(__xludf.DUMMYFUNCTION("IMPORTRANGE(""https://docs.google.com/spreadsheets/d/1IYY_tgx_IHuhSq3AJ5eI5OnqOPBNLWSHKh2a30DoXe8/edit?usp=sharing"",""ปัตตานี!J426"")"),0)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IFERROR(__xludf.DUMMYFUNCTION("IMPORTRANGE(""https://docs.google.com/spreadsheets/d/1IYY_tgx_IHuhSq3AJ5eI5OnqOPBNLWSHKh2a30DoXe8/edit?usp=sharing"",""ปัตตานี!I427"")"),0)</f>
        <v>0</v>
      </c>
      <c r="J532" s="472">
        <f ca="1">IFERROR(__xludf.DUMMYFUNCTION("IMPORTRANGE(""https://docs.google.com/spreadsheets/d/1IYY_tgx_IHuhSq3AJ5eI5OnqOPBNLWSHKh2a30DoXe8/edit?usp=sharing"",""ปัตตานี!J427"")"),0)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IFERROR(__xludf.DUMMYFUNCTION("IMPORTRANGE(""https://docs.google.com/spreadsheets/d/1IYY_tgx_IHuhSq3AJ5eI5OnqOPBNLWSHKh2a30DoXe8/edit?usp=sharing"",""ปัตตานี!I428"")"),20)</f>
        <v>20</v>
      </c>
      <c r="J533" s="416">
        <f ca="1">IFERROR(__xludf.DUMMYFUNCTION("IMPORTRANGE(""https://docs.google.com/spreadsheets/d/1IYY_tgx_IHuhSq3AJ5eI5OnqOPBNLWSHKh2a30DoXe8/edit?usp=sharing"",""ปัตตานี!J428"")"),20)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IFERROR(__xludf.DUMMYFUNCTION("IMPORTRANGE(""https://docs.google.com/spreadsheets/d/1IYY_tgx_IHuhSq3AJ5eI5OnqOPBNLWSHKh2a30DoXe8/edit?usp=sharing"",""ปัตตานี!L428"")"),32640)</f>
        <v>32640</v>
      </c>
      <c r="M533" s="418"/>
      <c r="N533" s="418">
        <f ca="1">IFERROR(__xludf.DUMMYFUNCTION("IMPORTRANGE(""https://docs.google.com/spreadsheets/d/1IYY_tgx_IHuhSq3AJ5eI5OnqOPBNLWSHKh2a30DoXe8/edit?usp=sharing"",""ปัตตานี!M428"")"),26889.2)</f>
        <v>26889.200000000001</v>
      </c>
      <c r="O533" s="418">
        <f t="shared" ref="O533:O537" ca="1" si="118">+IF(L533&gt;0,N533*100/L533,0)</f>
        <v>82.381127450980387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IFERROR(__xludf.DUMMYFUNCTION("IMPORTRANGE(""https://docs.google.com/spreadsheets/d/1IYY_tgx_IHuhSq3AJ5eI5OnqOPBNLWSHKh2a30DoXe8/edit?usp=sharing"",""ปัตตานี!L429"")"),0)</f>
        <v>0</v>
      </c>
      <c r="M534" s="168"/>
      <c r="N534" s="175">
        <f ca="1">IFERROR(__xludf.DUMMYFUNCTION("IMPORTRANGE(""https://docs.google.com/spreadsheets/d/1IYY_tgx_IHuhSq3AJ5eI5OnqOPBNLWSHKh2a30DoXe8/edit?usp=sharing"",""ปัตตานี!M429"")"),0)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IFERROR(__xludf.DUMMYFUNCTION("IMPORTRANGE(""https://docs.google.com/spreadsheets/d/1IYY_tgx_IHuhSq3AJ5eI5OnqOPBNLWSHKh2a30DoXe8/edit?usp=sharing"",""ปัตตานี!L430"")"),32640)</f>
        <v>32640</v>
      </c>
      <c r="M535" s="169"/>
      <c r="N535" s="175">
        <f ca="1">IFERROR(__xludf.DUMMYFUNCTION("IMPORTRANGE(""https://docs.google.com/spreadsheets/d/1IYY_tgx_IHuhSq3AJ5eI5OnqOPBNLWSHKh2a30DoXe8/edit?usp=sharing"",""ปัตตานี!M430"")"),26889.2)</f>
        <v>26889.200000000001</v>
      </c>
      <c r="O535" s="175">
        <f t="shared" ca="1" si="118"/>
        <v>82.381127450980387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IFERROR(__xludf.DUMMYFUNCTION("IMPORTRANGE(""https://docs.google.com/spreadsheets/d/1IYY_tgx_IHuhSq3AJ5eI5OnqOPBNLWSHKh2a30DoXe8/edit?usp=sharing"",""ปัตตานี!L431"")"),0)</f>
        <v>0</v>
      </c>
      <c r="M536" s="175"/>
      <c r="N536" s="175">
        <f ca="1">IFERROR(__xludf.DUMMYFUNCTION("IMPORTRANGE(""https://docs.google.com/spreadsheets/d/1IYY_tgx_IHuhSq3AJ5eI5OnqOPBNLWSHKh2a30DoXe8/edit?usp=sharing"",""ปัตตานี!M431"")"),0)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IFERROR(__xludf.DUMMYFUNCTION("IMPORTRANGE(""https://docs.google.com/spreadsheets/d/1IYY_tgx_IHuhSq3AJ5eI5OnqOPBNLWSHKh2a30DoXe8/edit?usp=sharing"",""ปัตตานี!L432"")"),32640)</f>
        <v>32640</v>
      </c>
      <c r="M537" s="175"/>
      <c r="N537" s="175">
        <f ca="1">IFERROR(__xludf.DUMMYFUNCTION("IMPORTRANGE(""https://docs.google.com/spreadsheets/d/1IYY_tgx_IHuhSq3AJ5eI5OnqOPBNLWSHKh2a30DoXe8/edit?usp=sharing"",""ปัตตานี!M432"")"),26889.2)</f>
        <v>26889.200000000001</v>
      </c>
      <c r="O537" s="175">
        <f t="shared" ca="1" si="118"/>
        <v>82.381127450980387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IFERROR(__xludf.DUMMYFUNCTION("IMPORTRANGE(""https://docs.google.com/spreadsheets/d/1IYY_tgx_IHuhSq3AJ5eI5OnqOPBNLWSHKh2a30DoXe8/edit?usp=sharing"",""ปัตตานี!M433"")"),17040)</f>
        <v>17040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IFERROR(__xludf.DUMMYFUNCTION("IMPORTRANGE(""https://docs.google.com/spreadsheets/d/1IYY_tgx_IHuhSq3AJ5eI5OnqOPBNLWSHKh2a30DoXe8/edit?usp=sharing"",""ปัตตานี!M434"")"),0)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IFERROR(__xludf.DUMMYFUNCTION("IMPORTRANGE(""https://docs.google.com/spreadsheets/d/1IYY_tgx_IHuhSq3AJ5eI5OnqOPBNLWSHKh2a30DoXe8/edit?usp=sharing"",""ปัตตานี!M435"")"),0)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IFERROR(__xludf.DUMMYFUNCTION("IMPORTRANGE(""https://docs.google.com/spreadsheets/d/1IYY_tgx_IHuhSq3AJ5eI5OnqOPBNLWSHKh2a30DoXe8/edit?usp=sharing"",""ปัตตานี!M436"")"),9849.2)</f>
        <v>9849.2000000000007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IFERROR(__xludf.DUMMYFUNCTION("IMPORTRANGE(""https://docs.google.com/spreadsheets/d/1IYY_tgx_IHuhSq3AJ5eI5OnqOPBNLWSHKh2a30DoXe8/edit?usp=sharing"",""ปัตตานี!J438"")"),0)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IFERROR(__xludf.DUMMYFUNCTION("IMPORTRANGE(""https://docs.google.com/spreadsheets/d/1IYY_tgx_IHuhSq3AJ5eI5OnqOPBNLWSHKh2a30DoXe8/edit?usp=sharing"",""ปัตตานี!J439"")"),1)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IFERROR(__xludf.DUMMYFUNCTION("IMPORTRANGE(""https://docs.google.com/spreadsheets/d/1IYY_tgx_IHuhSq3AJ5eI5OnqOPBNLWSHKh2a30DoXe8/edit?usp=sharing"",""ปัตตานี!J440"")"),1)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IFERROR(__xludf.DUMMYFUNCTION("IMPORTRANGE(""https://docs.google.com/spreadsheets/d/1IYY_tgx_IHuhSq3AJ5eI5OnqOPBNLWSHKh2a30DoXe8/edit?usp=sharing"",""ปัตตานี!J441"")"),1)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IFERROR(__xludf.DUMMYFUNCTION("IMPORTRANGE(""https://docs.google.com/spreadsheets/d/1IYY_tgx_IHuhSq3AJ5eI5OnqOPBNLWSHKh2a30DoXe8/edit?usp=sharing"",""ปัตตานี!I442"")"),20)</f>
        <v>20</v>
      </c>
      <c r="J547" s="195">
        <f ca="1">IFERROR(__xludf.DUMMYFUNCTION("IMPORTRANGE(""https://docs.google.com/spreadsheets/d/1IYY_tgx_IHuhSq3AJ5eI5OnqOPBNLWSHKh2a30DoXe8/edit?usp=sharing"",""ปัตตานี!J442"")"),20)</f>
        <v>20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IFERROR(__xludf.DUMMYFUNCTION("IMPORTRANGE(""https://docs.google.com/spreadsheets/d/1IYY_tgx_IHuhSq3AJ5eI5OnqOPBNLWSHKh2a30DoXe8/edit?usp=sharing"",""ปัตตานี!J166"")"),0)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IFERROR(__xludf.DUMMYFUNCTION("IMPORTRANGE(""https://docs.google.com/spreadsheets/d/1IYY_tgx_IHuhSq3AJ5eI5OnqOPBNLWSHKh2a30DoXe8/edit?usp=sharing"",""ปัตตานี!J444"")"),0)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IFERROR(__xludf.DUMMYFUNCTION("IMPORTRANGE(""https://docs.google.com/spreadsheets/d/1IYY_tgx_IHuhSq3AJ5eI5OnqOPBNLWSHKh2a30DoXe8/edit?usp=sharing"",""ปัตตานี!J445"")"),0)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IFERROR(__xludf.DUMMYFUNCTION("IMPORTRANGE(""https://docs.google.com/spreadsheets/d/1IYY_tgx_IHuhSq3AJ5eI5OnqOPBNLWSHKh2a30DoXe8/edit?usp=sharing"",""ปัตตานี!I446"")"),0)</f>
        <v>0</v>
      </c>
      <c r="J551" s="416">
        <f ca="1">IFERROR(__xludf.DUMMYFUNCTION("IMPORTRANGE(""https://docs.google.com/spreadsheets/d/1IYY_tgx_IHuhSq3AJ5eI5OnqOPBNLWSHKh2a30DoXe8/edit?usp=sharing"",""ปัตตานี!J446"")"),0)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IFERROR(__xludf.DUMMYFUNCTION("IMPORTRANGE(""https://docs.google.com/spreadsheets/d/1IYY_tgx_IHuhSq3AJ5eI5OnqOPBNLWSHKh2a30DoXe8/edit?usp=sharing"",""ปัตตานี!L446"")"),0)</f>
        <v>0</v>
      </c>
      <c r="M551" s="418"/>
      <c r="N551" s="418">
        <f ca="1">IFERROR(__xludf.DUMMYFUNCTION("IMPORTRANGE(""https://docs.google.com/spreadsheets/d/1IYY_tgx_IHuhSq3AJ5eI5OnqOPBNLWSHKh2a30DoXe8/edit?usp=sharing"",""ปัตตานี!M446"")"),0)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IFERROR(__xludf.DUMMYFUNCTION("IMPORTRANGE(""https://docs.google.com/spreadsheets/d/1IYY_tgx_IHuhSq3AJ5eI5OnqOPBNLWSHKh2a30DoXe8/edit?usp=sharing"",""ปัตตานี!L447"")"),0)</f>
        <v>0</v>
      </c>
      <c r="M552" s="168"/>
      <c r="N552" s="175">
        <f ca="1">IFERROR(__xludf.DUMMYFUNCTION("IMPORTRANGE(""https://docs.google.com/spreadsheets/d/1IYY_tgx_IHuhSq3AJ5eI5OnqOPBNLWSHKh2a30DoXe8/edit?usp=sharing"",""ปัตตานี!M447"")"),0)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IFERROR(__xludf.DUMMYFUNCTION("IMPORTRANGE(""https://docs.google.com/spreadsheets/d/1IYY_tgx_IHuhSq3AJ5eI5OnqOPBNLWSHKh2a30DoXe8/edit?usp=sharing"",""ปัตตานี!L448"")"),0)</f>
        <v>0</v>
      </c>
      <c r="M553" s="169"/>
      <c r="N553" s="175">
        <f ca="1">IFERROR(__xludf.DUMMYFUNCTION("IMPORTRANGE(""https://docs.google.com/spreadsheets/d/1IYY_tgx_IHuhSq3AJ5eI5OnqOPBNLWSHKh2a30DoXe8/edit?usp=sharing"",""ปัตตานี!M448"")"),0)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IFERROR(__xludf.DUMMYFUNCTION("IMPORTRANGE(""https://docs.google.com/spreadsheets/d/1IYY_tgx_IHuhSq3AJ5eI5OnqOPBNLWSHKh2a30DoXe8/edit?usp=sharing"",""ปัตตานี!L449"")"),0)</f>
        <v>0</v>
      </c>
      <c r="M554" s="175"/>
      <c r="N554" s="175">
        <f ca="1">IFERROR(__xludf.DUMMYFUNCTION("IMPORTRANGE(""https://docs.google.com/spreadsheets/d/1IYY_tgx_IHuhSq3AJ5eI5OnqOPBNLWSHKh2a30DoXe8/edit?usp=sharing"",""ปัตตานี!M449"")"),0)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IFERROR(__xludf.DUMMYFUNCTION("IMPORTRANGE(""https://docs.google.com/spreadsheets/d/1IYY_tgx_IHuhSq3AJ5eI5OnqOPBNLWSHKh2a30DoXe8/edit?usp=sharing"",""ปัตตานี!L450"")"),0)</f>
        <v>0</v>
      </c>
      <c r="M555" s="175"/>
      <c r="N555" s="175">
        <f ca="1">IFERROR(__xludf.DUMMYFUNCTION("IMPORTRANGE(""https://docs.google.com/spreadsheets/d/1IYY_tgx_IHuhSq3AJ5eI5OnqOPBNLWSHKh2a30DoXe8/edit?usp=sharing"",""ปัตตานี!M450"")"),0)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IFERROR(__xludf.DUMMYFUNCTION("IMPORTRANGE(""https://docs.google.com/spreadsheets/d/1IYY_tgx_IHuhSq3AJ5eI5OnqOPBNLWSHKh2a30DoXe8/edit?usp=sharing"",""ปัตตานี!M451"")"),0)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IFERROR(__xludf.DUMMYFUNCTION("IMPORTRANGE(""https://docs.google.com/spreadsheets/d/1IYY_tgx_IHuhSq3AJ5eI5OnqOPBNLWSHKh2a30DoXe8/edit?usp=sharing"",""ปัตตานี!M452"")"),0)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IFERROR(__xludf.DUMMYFUNCTION("IMPORTRANGE(""https://docs.google.com/spreadsheets/d/1IYY_tgx_IHuhSq3AJ5eI5OnqOPBNLWSHKh2a30DoXe8/edit?usp=sharing"",""ปัตตานี!M453"")"),0)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IFERROR(__xludf.DUMMYFUNCTION("IMPORTRANGE(""https://docs.google.com/spreadsheets/d/1IYY_tgx_IHuhSq3AJ5eI5OnqOPBNLWSHKh2a30DoXe8/edit?usp=sharing"",""ปัตตานี!M454"")"),0)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IFERROR(__xludf.DUMMYFUNCTION("IMPORTRANGE(""https://docs.google.com/spreadsheets/d/1IYY_tgx_IHuhSq3AJ5eI5OnqOPBNLWSHKh2a30DoXe8/edit?usp=sharing"",""ปัตตานี!I455"")"),0)</f>
        <v>0</v>
      </c>
      <c r="J560" s="166">
        <f ca="1">IFERROR(__xludf.DUMMYFUNCTION("IMPORTRANGE(""https://docs.google.com/spreadsheets/d/1IYY_tgx_IHuhSq3AJ5eI5OnqOPBNLWSHKh2a30DoXe8/edit?usp=sharing"",""ปัตตานี!J455"")"),0)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IFERROR(__xludf.DUMMYFUNCTION("IMPORTRANGE(""https://docs.google.com/spreadsheets/d/1IYY_tgx_IHuhSq3AJ5eI5OnqOPBNLWSHKh2a30DoXe8/edit?usp=sharing"",""ปัตตานี!I456"")"),0)</f>
        <v>0</v>
      </c>
      <c r="J561" s="210">
        <f ca="1">IFERROR(__xludf.DUMMYFUNCTION("IMPORTRANGE(""https://docs.google.com/spreadsheets/d/1IYY_tgx_IHuhSq3AJ5eI5OnqOPBNLWSHKh2a30DoXe8/edit?usp=sharing"",""ปัตตานี!J456"")"),0)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IFERROR(__xludf.DUMMYFUNCTION("IMPORTRANGE(""https://docs.google.com/spreadsheets/d/1IYY_tgx_IHuhSq3AJ5eI5OnqOPBNLWSHKh2a30DoXe8/edit?usp=sharing"",""ปัตตานี!I459"")"),200)</f>
        <v>200</v>
      </c>
      <c r="J564" s="377">
        <f ca="1">IFERROR(__xludf.DUMMYFUNCTION("IMPORTRANGE(""https://docs.google.com/spreadsheets/d/1IYY_tgx_IHuhSq3AJ5eI5OnqOPBNLWSHKh2a30DoXe8/edit?usp=sharing"",""ปัตตานี!J459"")"),501)</f>
        <v>501</v>
      </c>
      <c r="K564" s="378">
        <f ca="1">IF(I564&gt;0,J564*100/I564,0)</f>
        <v>250.5</v>
      </c>
      <c r="L564" s="379">
        <f ca="1">IFERROR(__xludf.DUMMYFUNCTION("IMPORTRANGE(""https://docs.google.com/spreadsheets/d/1IYY_tgx_IHuhSq3AJ5eI5OnqOPBNLWSHKh2a30DoXe8/edit?usp=sharing"",""ปัตตานี!L459"")"),119520)</f>
        <v>119520</v>
      </c>
      <c r="M564" s="379"/>
      <c r="N564" s="379">
        <f ca="1">IFERROR(__xludf.DUMMYFUNCTION("IMPORTRANGE(""https://docs.google.com/spreadsheets/d/1IYY_tgx_IHuhSq3AJ5eI5OnqOPBNLWSHKh2a30DoXe8/edit?usp=sharing"",""ปัตตานี!M459"")"),63091.48)</f>
        <v>63091.48</v>
      </c>
      <c r="O564" s="379">
        <f t="shared" ref="O564:O568" ca="1" si="122">+IF(L564&gt;0,N564*100/L564,0)</f>
        <v>52.787382864792505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IFERROR(__xludf.DUMMYFUNCTION("IMPORTRANGE(""https://docs.google.com/spreadsheets/d/1IYY_tgx_IHuhSq3AJ5eI5OnqOPBNLWSHKh2a30DoXe8/edit?usp=sharing"",""ปัตตานี!L460"")"),0)</f>
        <v>0</v>
      </c>
      <c r="M565" s="168"/>
      <c r="N565" s="175">
        <f ca="1">IFERROR(__xludf.DUMMYFUNCTION("IMPORTRANGE(""https://docs.google.com/spreadsheets/d/1IYY_tgx_IHuhSq3AJ5eI5OnqOPBNLWSHKh2a30DoXe8/edit?usp=sharing"",""ปัตตานี!M460"")"),0)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IFERROR(__xludf.DUMMYFUNCTION("IMPORTRANGE(""https://docs.google.com/spreadsheets/d/1IYY_tgx_IHuhSq3AJ5eI5OnqOPBNLWSHKh2a30DoXe8/edit?usp=sharing"",""ปัตตานี!L461"")"),119520)</f>
        <v>119520</v>
      </c>
      <c r="M566" s="169"/>
      <c r="N566" s="175">
        <f ca="1">IFERROR(__xludf.DUMMYFUNCTION("IMPORTRANGE(""https://docs.google.com/spreadsheets/d/1IYY_tgx_IHuhSq3AJ5eI5OnqOPBNLWSHKh2a30DoXe8/edit?usp=sharing"",""ปัตตานี!M461"")"),63091.48)</f>
        <v>63091.48</v>
      </c>
      <c r="O566" s="175">
        <f t="shared" ca="1" si="122"/>
        <v>52.787382864792505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IFERROR(__xludf.DUMMYFUNCTION("IMPORTRANGE(""https://docs.google.com/spreadsheets/d/1IYY_tgx_IHuhSq3AJ5eI5OnqOPBNLWSHKh2a30DoXe8/edit?usp=sharing"",""ปัตตานี!L462"")"),0)</f>
        <v>0</v>
      </c>
      <c r="M567" s="175"/>
      <c r="N567" s="175">
        <f ca="1">IFERROR(__xludf.DUMMYFUNCTION("IMPORTRANGE(""https://docs.google.com/spreadsheets/d/1IYY_tgx_IHuhSq3AJ5eI5OnqOPBNLWSHKh2a30DoXe8/edit?usp=sharing"",""ปัตตานี!M462"")"),0)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IFERROR(__xludf.DUMMYFUNCTION("IMPORTRANGE(""https://docs.google.com/spreadsheets/d/1IYY_tgx_IHuhSq3AJ5eI5OnqOPBNLWSHKh2a30DoXe8/edit?usp=sharing"",""ปัตตานี!L463"")"),119520)</f>
        <v>119520</v>
      </c>
      <c r="M568" s="175"/>
      <c r="N568" s="175">
        <f ca="1">IFERROR(__xludf.DUMMYFUNCTION("IMPORTRANGE(""https://docs.google.com/spreadsheets/d/1IYY_tgx_IHuhSq3AJ5eI5OnqOPBNLWSHKh2a30DoXe8/edit?usp=sharing"",""ปัตตานี!M463"")"),63091.48)</f>
        <v>63091.48</v>
      </c>
      <c r="O568" s="175">
        <f t="shared" ca="1" si="122"/>
        <v>52.787382864792505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IFERROR(__xludf.DUMMYFUNCTION("IMPORTRANGE(""https://docs.google.com/spreadsheets/d/1IYY_tgx_IHuhSq3AJ5eI5OnqOPBNLWSHKh2a30DoXe8/edit?usp=sharing"",""ปัตตานี!M464"")"),0)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IFERROR(__xludf.DUMMYFUNCTION("IMPORTRANGE(""https://docs.google.com/spreadsheets/d/1IYY_tgx_IHuhSq3AJ5eI5OnqOPBNLWSHKh2a30DoXe8/edit?usp=sharing"",""ปัตตานี!M465"")"),0)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IFERROR(__xludf.DUMMYFUNCTION("IMPORTRANGE(""https://docs.google.com/spreadsheets/d/1IYY_tgx_IHuhSq3AJ5eI5OnqOPBNLWSHKh2a30DoXe8/edit?usp=sharing"",""ปัตตานี!M466"")"),42935.48)</f>
        <v>42935.48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IFERROR(__xludf.DUMMYFUNCTION("IMPORTRANGE(""https://docs.google.com/spreadsheets/d/1IYY_tgx_IHuhSq3AJ5eI5OnqOPBNLWSHKh2a30DoXe8/edit?usp=sharing"",""ปัตตานี!M467"")"),20156)</f>
        <v>20156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IFERROR(__xludf.DUMMYFUNCTION("IMPORTRANGE(""https://docs.google.com/spreadsheets/d/1IYY_tgx_IHuhSq3AJ5eI5OnqOPBNLWSHKh2a30DoXe8/edit?usp=sharing"",""ปัตตานี!I468"")"),200)</f>
        <v>200</v>
      </c>
      <c r="J573" s="426">
        <f ca="1">IFERROR(__xludf.DUMMYFUNCTION("IMPORTRANGE(""https://docs.google.com/spreadsheets/d/1IYY_tgx_IHuhSq3AJ5eI5OnqOPBNLWSHKh2a30DoXe8/edit?usp=sharing"",""ปัตตานี!J468"")"),501)</f>
        <v>501</v>
      </c>
      <c r="K573" s="208">
        <f ca="1">IF(I573&gt;0,J573*100/I573,0)</f>
        <v>250.5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IFERROR(__xludf.DUMMYFUNCTION("IMPORTRANGE(""https://docs.google.com/spreadsheets/d/1IYY_tgx_IHuhSq3AJ5eI5OnqOPBNLWSHKh2a30DoXe8/edit?usp=sharing"",""ปัตตานี!I470"")"),0)</f>
        <v>0</v>
      </c>
      <c r="J575" s="204">
        <f ca="1">IFERROR(__xludf.DUMMYFUNCTION("IMPORTRANGE(""https://docs.google.com/spreadsheets/d/1IYY_tgx_IHuhSq3AJ5eI5OnqOPBNLWSHKh2a30DoXe8/edit?usp=sharing"",""ปัตตานี!J470"")"),11)</f>
        <v>11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IFERROR(__xludf.DUMMYFUNCTION("IMPORTRANGE(""https://docs.google.com/spreadsheets/d/1IYY_tgx_IHuhSq3AJ5eI5OnqOPBNLWSHKh2a30DoXe8/edit?usp=sharing"",""ปัตตานี!I471"")"),0)</f>
        <v>0</v>
      </c>
      <c r="J576" s="204">
        <f ca="1">IFERROR(__xludf.DUMMYFUNCTION("IMPORTRANGE(""https://docs.google.com/spreadsheets/d/1IYY_tgx_IHuhSq3AJ5eI5OnqOPBNLWSHKh2a30DoXe8/edit?usp=sharing"",""ปัตตานี!J471"")"),329)</f>
        <v>329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IFERROR(__xludf.DUMMYFUNCTION("IMPORTRANGE(""https://docs.google.com/spreadsheets/d/1IYY_tgx_IHuhSq3AJ5eI5OnqOPBNLWSHKh2a30DoXe8/edit?usp=sharing"",""ปัตตานี!I472"")"),0)</f>
        <v>0</v>
      </c>
      <c r="J577" s="195">
        <f ca="1">IFERROR(__xludf.DUMMYFUNCTION("IMPORTRANGE(""https://docs.google.com/spreadsheets/d/1IYY_tgx_IHuhSq3AJ5eI5OnqOPBNLWSHKh2a30DoXe8/edit?usp=sharing"",""ปัตตานี!J472"")"),172)</f>
        <v>172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IFERROR(__xludf.DUMMYFUNCTION("IMPORTRANGE(""https://docs.google.com/spreadsheets/d/1IYY_tgx_IHuhSq3AJ5eI5OnqOPBNLWSHKh2a30DoXe8/edit?usp=sharing"",""ปัตตานี!I473"")"),0)</f>
        <v>0</v>
      </c>
      <c r="J578" s="204">
        <f ca="1">IFERROR(__xludf.DUMMYFUNCTION("IMPORTRANGE(""https://docs.google.com/spreadsheets/d/1IYY_tgx_IHuhSq3AJ5eI5OnqOPBNLWSHKh2a30DoXe8/edit?usp=sharing"",""ปัตตานี!J473"")"),0)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IFERROR(__xludf.DUMMYFUNCTION("IMPORTRANGE(""https://docs.google.com/spreadsheets/d/1IYY_tgx_IHuhSq3AJ5eI5OnqOPBNLWSHKh2a30DoXe8/edit?usp=sharing"",""ปัตตานี!I474"")"),0)</f>
        <v>0</v>
      </c>
      <c r="J579" s="204">
        <f ca="1">IFERROR(__xludf.DUMMYFUNCTION("IMPORTRANGE(""https://docs.google.com/spreadsheets/d/1IYY_tgx_IHuhSq3AJ5eI5OnqOPBNLWSHKh2a30DoXe8/edit?usp=sharing"",""ปัตตานี!J474"")"),0)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IFERROR(__xludf.DUMMYFUNCTION("IMPORTRANGE(""https://docs.google.com/spreadsheets/d/1IYY_tgx_IHuhSq3AJ5eI5OnqOPBNLWSHKh2a30DoXe8/edit?usp=sharing"",""ปัตตานี!I475"")"),0)</f>
        <v>0</v>
      </c>
      <c r="J580" s="377">
        <f ca="1">IFERROR(__xludf.DUMMYFUNCTION("IMPORTRANGE(""https://docs.google.com/spreadsheets/d/1IYY_tgx_IHuhSq3AJ5eI5OnqOPBNLWSHKh2a30DoXe8/edit?usp=sharing"",""ปัตตานี!J475"")"),0)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IFERROR(__xludf.DUMMYFUNCTION("IMPORTRANGE(""https://docs.google.com/spreadsheets/d/1IYY_tgx_IHuhSq3AJ5eI5OnqOPBNLWSHKh2a30DoXe8/edit?usp=sharing"",""ปัตตานี!L475"")"),0)</f>
        <v>0</v>
      </c>
      <c r="M580" s="379"/>
      <c r="N580" s="379">
        <f ca="1">IFERROR(__xludf.DUMMYFUNCTION("IMPORTRANGE(""https://docs.google.com/spreadsheets/d/1IYY_tgx_IHuhSq3AJ5eI5OnqOPBNLWSHKh2a30DoXe8/edit?usp=sharing"",""ปัตตานี!M475"")"),0)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IFERROR(__xludf.DUMMYFUNCTION("IMPORTRANGE(""https://docs.google.com/spreadsheets/d/1IYY_tgx_IHuhSq3AJ5eI5OnqOPBNLWSHKh2a30DoXe8/edit?usp=sharing"",""ปัตตานี!L476"")"),0)</f>
        <v>0</v>
      </c>
      <c r="M581" s="168"/>
      <c r="N581" s="175">
        <f ca="1">IFERROR(__xludf.DUMMYFUNCTION("IMPORTRANGE(""https://docs.google.com/spreadsheets/d/1IYY_tgx_IHuhSq3AJ5eI5OnqOPBNLWSHKh2a30DoXe8/edit?usp=sharing"",""ปัตตานี!M476"")"),0)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IFERROR(__xludf.DUMMYFUNCTION("IMPORTRANGE(""https://docs.google.com/spreadsheets/d/1IYY_tgx_IHuhSq3AJ5eI5OnqOPBNLWSHKh2a30DoXe8/edit?usp=sharing"",""ปัตตานี!L477"")"),0)</f>
        <v>0</v>
      </c>
      <c r="M582" s="169"/>
      <c r="N582" s="175">
        <f ca="1">IFERROR(__xludf.DUMMYFUNCTION("IMPORTRANGE(""https://docs.google.com/spreadsheets/d/1IYY_tgx_IHuhSq3AJ5eI5OnqOPBNLWSHKh2a30DoXe8/edit?usp=sharing"",""ปัตตานี!M477"")"),0)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IFERROR(__xludf.DUMMYFUNCTION("IMPORTRANGE(""https://docs.google.com/spreadsheets/d/1IYY_tgx_IHuhSq3AJ5eI5OnqOPBNLWSHKh2a30DoXe8/edit?usp=sharing"",""ปัตตานี!L478"")"),0)</f>
        <v>0</v>
      </c>
      <c r="M583" s="175"/>
      <c r="N583" s="175">
        <f ca="1">IFERROR(__xludf.DUMMYFUNCTION("IMPORTRANGE(""https://docs.google.com/spreadsheets/d/1IYY_tgx_IHuhSq3AJ5eI5OnqOPBNLWSHKh2a30DoXe8/edit?usp=sharing"",""ปัตตานี!M478"")"),0)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IFERROR(__xludf.DUMMYFUNCTION("IMPORTRANGE(""https://docs.google.com/spreadsheets/d/1IYY_tgx_IHuhSq3AJ5eI5OnqOPBNLWSHKh2a30DoXe8/edit?usp=sharing"",""ปัตตานี!L479"")"),0)</f>
        <v>0</v>
      </c>
      <c r="M584" s="175"/>
      <c r="N584" s="175">
        <f ca="1">IFERROR(__xludf.DUMMYFUNCTION("IMPORTRANGE(""https://docs.google.com/spreadsheets/d/1IYY_tgx_IHuhSq3AJ5eI5OnqOPBNLWSHKh2a30DoXe8/edit?usp=sharing"",""ปัตตานี!M479"")"),0)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IFERROR(__xludf.DUMMYFUNCTION("IMPORTRANGE(""https://docs.google.com/spreadsheets/d/1IYY_tgx_IHuhSq3AJ5eI5OnqOPBNLWSHKh2a30DoXe8/edit?usp=sharing"",""ปัตตานี!M480"")"),0)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IFERROR(__xludf.DUMMYFUNCTION("IMPORTRANGE(""https://docs.google.com/spreadsheets/d/1IYY_tgx_IHuhSq3AJ5eI5OnqOPBNLWSHKh2a30DoXe8/edit?usp=sharing"",""ปัตตานี!M481"")"),0)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IFERROR(__xludf.DUMMYFUNCTION("IMPORTRANGE(""https://docs.google.com/spreadsheets/d/1IYY_tgx_IHuhSq3AJ5eI5OnqOPBNLWSHKh2a30DoXe8/edit?usp=sharing"",""ปัตตานี!M482"")"),0)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IFERROR(__xludf.DUMMYFUNCTION("IMPORTRANGE(""https://docs.google.com/spreadsheets/d/1IYY_tgx_IHuhSq3AJ5eI5OnqOPBNLWSHKh2a30DoXe8/edit?usp=sharing"",""ปัตตานี!M483"")"),0)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IFERROR(__xludf.DUMMYFUNCTION("IMPORTRANGE(""https://docs.google.com/spreadsheets/d/1IYY_tgx_IHuhSq3AJ5eI5OnqOPBNLWSHKh2a30DoXe8/edit?usp=sharing"",""ปัตตานี!I484"")"),0)</f>
        <v>0</v>
      </c>
      <c r="J589" s="194">
        <f ca="1">IFERROR(__xludf.DUMMYFUNCTION("IMPORTRANGE(""https://docs.google.com/spreadsheets/d/1IYY_tgx_IHuhSq3AJ5eI5OnqOPBNLWSHKh2a30DoXe8/edit?usp=sharing"",""ปัตตานี!J484"")"),0)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IFERROR(__xludf.DUMMYFUNCTION("IMPORTRANGE(""https://docs.google.com/spreadsheets/d/1IYY_tgx_IHuhSq3AJ5eI5OnqOPBNLWSHKh2a30DoXe8/edit?usp=sharing"",""ปัตตานี!I485"")"),0)</f>
        <v>0</v>
      </c>
      <c r="J590" s="194">
        <f ca="1">IFERROR(__xludf.DUMMYFUNCTION("IMPORTRANGE(""https://docs.google.com/spreadsheets/d/1IYY_tgx_IHuhSq3AJ5eI5OnqOPBNLWSHKh2a30DoXe8/edit?usp=sharing"",""ปัตตานี!J485"")"),0)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IFERROR(__xludf.DUMMYFUNCTION("IMPORTRANGE(""https://docs.google.com/spreadsheets/d/1IYY_tgx_IHuhSq3AJ5eI5OnqOPBNLWSHKh2a30DoXe8/edit?usp=sharing"",""ปัตตานี!I486"")"),0)</f>
        <v>0</v>
      </c>
      <c r="J591" s="194">
        <f ca="1">IFERROR(__xludf.DUMMYFUNCTION("IMPORTRANGE(""https://docs.google.com/spreadsheets/d/1IYY_tgx_IHuhSq3AJ5eI5OnqOPBNLWSHKh2a30DoXe8/edit?usp=sharing"",""ปัตตานี!J486"")"),0)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IFERROR(__xludf.DUMMYFUNCTION("IMPORTRANGE(""https://docs.google.com/spreadsheets/d/1IYY_tgx_IHuhSq3AJ5eI5OnqOPBNLWSHKh2a30DoXe8/edit?usp=sharing"",""ปัตตานี!I487"")"),0)</f>
        <v>0</v>
      </c>
      <c r="J592" s="194">
        <f ca="1">IFERROR(__xludf.DUMMYFUNCTION("IMPORTRANGE(""https://docs.google.com/spreadsheets/d/1IYY_tgx_IHuhSq3AJ5eI5OnqOPBNLWSHKh2a30DoXe8/edit?usp=sharing"",""ปัตตานี!J487"")"),0)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IFERROR(__xludf.DUMMYFUNCTION("IMPORTRANGE(""https://docs.google.com/spreadsheets/d/1IYY_tgx_IHuhSq3AJ5eI5OnqOPBNLWSHKh2a30DoXe8/edit?usp=sharing"",""ปัตตานี!I488"")"),0)</f>
        <v>0</v>
      </c>
      <c r="J593" s="194">
        <f ca="1">IFERROR(__xludf.DUMMYFUNCTION("IMPORTRANGE(""https://docs.google.com/spreadsheets/d/1IYY_tgx_IHuhSq3AJ5eI5OnqOPBNLWSHKh2a30DoXe8/edit?usp=sharing"",""ปัตตานี!J488"")"),0)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IFERROR(__xludf.DUMMYFUNCTION("IMPORTRANGE(""https://docs.google.com/spreadsheets/d/1IYY_tgx_IHuhSq3AJ5eI5OnqOPBNLWSHKh2a30DoXe8/edit?usp=sharing"",""ปัตตานี!I489"")"),0)</f>
        <v>0</v>
      </c>
      <c r="J594" s="194">
        <f ca="1">IFERROR(__xludf.DUMMYFUNCTION("IMPORTRANGE(""https://docs.google.com/spreadsheets/d/1IYY_tgx_IHuhSq3AJ5eI5OnqOPBNLWSHKh2a30DoXe8/edit?usp=sharing"",""ปัตตานี!J489"")"),0)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IFERROR(__xludf.DUMMYFUNCTION("IMPORTRANGE(""https://docs.google.com/spreadsheets/d/1IYY_tgx_IHuhSq3AJ5eI5OnqOPBNLWSHKh2a30DoXe8/edit?usp=sharing"",""ปัตตานี!I490"")"),0)</f>
        <v>0</v>
      </c>
      <c r="J595" s="194">
        <f ca="1">IFERROR(__xludf.DUMMYFUNCTION("IMPORTRANGE(""https://docs.google.com/spreadsheets/d/1IYY_tgx_IHuhSq3AJ5eI5OnqOPBNLWSHKh2a30DoXe8/edit?usp=sharing"",""ปัตตานี!J490"")"),0)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IFERROR(__xludf.DUMMYFUNCTION("IMPORTRANGE(""https://docs.google.com/spreadsheets/d/1IYY_tgx_IHuhSq3AJ5eI5OnqOPBNLWSHKh2a30DoXe8/edit?usp=sharing"",""ปัตตานี!I491"")"),0)</f>
        <v>0</v>
      </c>
      <c r="J596" s="247">
        <f ca="1">IFERROR(__xludf.DUMMYFUNCTION("IMPORTRANGE(""https://docs.google.com/spreadsheets/d/1IYY_tgx_IHuhSq3AJ5eI5OnqOPBNLWSHKh2a30DoXe8/edit?usp=sharing"",""ปัตตานี!J491"")"),0)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IFERROR(__xludf.DUMMYFUNCTION("IMPORTRANGE(""https://docs.google.com/spreadsheets/d/1IYY_tgx_IHuhSq3AJ5eI5OnqOPBNLWSHKh2a30DoXe8/edit?usp=sharing"",""ปัตตานี!I492"")"),100)</f>
        <v>100</v>
      </c>
      <c r="J597" s="493">
        <f ca="1">IFERROR(__xludf.DUMMYFUNCTION("IMPORTRANGE(""https://docs.google.com/spreadsheets/d/1IYY_tgx_IHuhSq3AJ5eI5OnqOPBNLWSHKh2a30DoXe8/edit?usp=sharing"",""ปัตตานี!J492"")"),0)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IFERROR(__xludf.DUMMYFUNCTION("IMPORTRANGE(""https://docs.google.com/spreadsheets/d/1IYY_tgx_IHuhSq3AJ5eI5OnqOPBNLWSHKh2a30DoXe8/edit?usp=sharing"",""ปัตตานี!L492"")"),7300)</f>
        <v>7300</v>
      </c>
      <c r="M597" s="418"/>
      <c r="N597" s="418">
        <f ca="1">IFERROR(__xludf.DUMMYFUNCTION("IMPORTRANGE(""https://docs.google.com/spreadsheets/d/1IYY_tgx_IHuhSq3AJ5eI5OnqOPBNLWSHKh2a30DoXe8/edit?usp=sharing"",""ปัตตานี!M492"")"),0)</f>
        <v>0</v>
      </c>
      <c r="O597" s="418">
        <f t="shared" ref="O597:O601" ca="1" si="126">+IF(L597&gt;0,N597*100/L597,0)</f>
        <v>0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IFERROR(__xludf.DUMMYFUNCTION("IMPORTRANGE(""https://docs.google.com/spreadsheets/d/1IYY_tgx_IHuhSq3AJ5eI5OnqOPBNLWSHKh2a30DoXe8/edit?usp=sharing"",""ปัตตานี!L493"")"),0)</f>
        <v>0</v>
      </c>
      <c r="M598" s="168"/>
      <c r="N598" s="175">
        <f ca="1">IFERROR(__xludf.DUMMYFUNCTION("IMPORTRANGE(""https://docs.google.com/spreadsheets/d/1IYY_tgx_IHuhSq3AJ5eI5OnqOPBNLWSHKh2a30DoXe8/edit?usp=sharing"",""ปัตตานี!M493"")"),0)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IFERROR(__xludf.DUMMYFUNCTION("IMPORTRANGE(""https://docs.google.com/spreadsheets/d/1IYY_tgx_IHuhSq3AJ5eI5OnqOPBNLWSHKh2a30DoXe8/edit?usp=sharing"",""ปัตตานี!L494"")"),7300)</f>
        <v>7300</v>
      </c>
      <c r="M599" s="169"/>
      <c r="N599" s="175">
        <f ca="1">IFERROR(__xludf.DUMMYFUNCTION("IMPORTRANGE(""https://docs.google.com/spreadsheets/d/1IYY_tgx_IHuhSq3AJ5eI5OnqOPBNLWSHKh2a30DoXe8/edit?usp=sharing"",""ปัตตานี!M494"")"),0)</f>
        <v>0</v>
      </c>
      <c r="O599" s="175">
        <f t="shared" ca="1" si="126"/>
        <v>0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IFERROR(__xludf.DUMMYFUNCTION("IMPORTRANGE(""https://docs.google.com/spreadsheets/d/1IYY_tgx_IHuhSq3AJ5eI5OnqOPBNLWSHKh2a30DoXe8/edit?usp=sharing"",""ปัตตานี!L495"")"),0)</f>
        <v>0</v>
      </c>
      <c r="M600" s="175"/>
      <c r="N600" s="175">
        <f ca="1">IFERROR(__xludf.DUMMYFUNCTION("IMPORTRANGE(""https://docs.google.com/spreadsheets/d/1IYY_tgx_IHuhSq3AJ5eI5OnqOPBNLWSHKh2a30DoXe8/edit?usp=sharing"",""ปัตตานี!M495"")"),0)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IFERROR(__xludf.DUMMYFUNCTION("IMPORTRANGE(""https://docs.google.com/spreadsheets/d/1IYY_tgx_IHuhSq3AJ5eI5OnqOPBNLWSHKh2a30DoXe8/edit?usp=sharing"",""ปัตตานี!L496"")"),7300)</f>
        <v>7300</v>
      </c>
      <c r="M601" s="175"/>
      <c r="N601" s="175">
        <f ca="1">IFERROR(__xludf.DUMMYFUNCTION("IMPORTRANGE(""https://docs.google.com/spreadsheets/d/1IYY_tgx_IHuhSq3AJ5eI5OnqOPBNLWSHKh2a30DoXe8/edit?usp=sharing"",""ปัตตานี!M496"")"),0)</f>
        <v>0</v>
      </c>
      <c r="O601" s="175">
        <f t="shared" ca="1" si="126"/>
        <v>0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IFERROR(__xludf.DUMMYFUNCTION("IMPORTRANGE(""https://docs.google.com/spreadsheets/d/1IYY_tgx_IHuhSq3AJ5eI5OnqOPBNLWSHKh2a30DoXe8/edit?usp=sharing"",""ปัตตานี!M497"")"),0)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IFERROR(__xludf.DUMMYFUNCTION("IMPORTRANGE(""https://docs.google.com/spreadsheets/d/1IYY_tgx_IHuhSq3AJ5eI5OnqOPBNLWSHKh2a30DoXe8/edit?usp=sharing"",""ปัตตานี!M498"")"),0)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IFERROR(__xludf.DUMMYFUNCTION("IMPORTRANGE(""https://docs.google.com/spreadsheets/d/1IYY_tgx_IHuhSq3AJ5eI5OnqOPBNLWSHKh2a30DoXe8/edit?usp=sharing"",""ปัตตานี!M499"")"),0)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IFERROR(__xludf.DUMMYFUNCTION("IMPORTRANGE(""https://docs.google.com/spreadsheets/d/1IYY_tgx_IHuhSq3AJ5eI5OnqOPBNLWSHKh2a30DoXe8/edit?usp=sharing"",""ปัตตานี!M500"")"),0)</f>
        <v>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IFERROR(__xludf.DUMMYFUNCTION("IMPORTRANGE(""https://docs.google.com/spreadsheets/d/1IYY_tgx_IHuhSq3AJ5eI5OnqOPBNLWSHKh2a30DoXe8/edit?usp=sharing"",""ปัตตานี!J502"")"),0)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IFERROR(__xludf.DUMMYFUNCTION("IMPORTRANGE(""https://docs.google.com/spreadsheets/d/1IYY_tgx_IHuhSq3AJ5eI5OnqOPBNLWSHKh2a30DoXe8/edit?usp=sharing"",""ปัตตานี!J503"")"),1)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IFERROR(__xludf.DUMMYFUNCTION("IMPORTRANGE(""https://docs.google.com/spreadsheets/d/1IYY_tgx_IHuhSq3AJ5eI5OnqOPBNLWSHKh2a30DoXe8/edit?usp=sharing"",""ปัตตานี!J166"")"),0)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IFERROR(__xludf.DUMMYFUNCTION("IMPORTRANGE(""https://docs.google.com/spreadsheets/d/1IYY_tgx_IHuhSq3AJ5eI5OnqOPBNLWSHKh2a30DoXe8/edit?usp=sharing"",""ปัตตานี!J166"")"),0)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IFERROR(__xludf.DUMMYFUNCTION("IMPORTRANGE(""https://docs.google.com/spreadsheets/d/1IYY_tgx_IHuhSq3AJ5eI5OnqOPBNLWSHKh2a30DoXe8/edit?usp=sharing"",""ปัตตานี!I506"")"),100)</f>
        <v>100</v>
      </c>
      <c r="J611" s="166">
        <f ca="1">IFERROR(__xludf.DUMMYFUNCTION("IMPORTRANGE(""https://docs.google.com/spreadsheets/d/1IYY_tgx_IHuhSq3AJ5eI5OnqOPBNLWSHKh2a30DoXe8/edit?usp=sharing"",""ปัตตานี!J506"")"),0)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IFERROR(__xludf.DUMMYFUNCTION("IMPORTRANGE(""https://docs.google.com/spreadsheets/d/1IYY_tgx_IHuhSq3AJ5eI5OnqOPBNLWSHKh2a30DoXe8/edit?usp=sharing"",""ปัตตานี!I507"")"),0)</f>
        <v>0</v>
      </c>
      <c r="J612" s="204">
        <f ca="1">IFERROR(__xludf.DUMMYFUNCTION("IMPORTRANGE(""https://docs.google.com/spreadsheets/d/1IYY_tgx_IHuhSq3AJ5eI5OnqOPBNLWSHKh2a30DoXe8/edit?usp=sharing"",""ปัตตานี!J507"")"),513.55)</f>
        <v>513.54999999999995</v>
      </c>
      <c r="K612" s="167">
        <f t="shared" ca="1" si="127"/>
        <v>513.54999999999995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IFERROR(__xludf.DUMMYFUNCTION("IMPORTRANGE(""https://docs.google.com/spreadsheets/d/1IYY_tgx_IHuhSq3AJ5eI5OnqOPBNLWSHKh2a30DoXe8/edit?usp=sharing"",""ปัตตานี!I508"")"),0)</f>
        <v>0</v>
      </c>
      <c r="J613" s="204">
        <f ca="1">IFERROR(__xludf.DUMMYFUNCTION("IMPORTRANGE(""https://docs.google.com/spreadsheets/d/1IYY_tgx_IHuhSq3AJ5eI5OnqOPBNLWSHKh2a30DoXe8/edit?usp=sharing"",""ปัตตานี!J508"")"),513.55)</f>
        <v>513.54999999999995</v>
      </c>
      <c r="K613" s="167">
        <f t="shared" ca="1" si="127"/>
        <v>513.54999999999995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IFERROR(__xludf.DUMMYFUNCTION("IMPORTRANGE(""https://docs.google.com/spreadsheets/d/1IYY_tgx_IHuhSq3AJ5eI5OnqOPBNLWSHKh2a30DoXe8/edit?usp=sharing"",""ปัตตานี!I509"")"),0)</f>
        <v>0</v>
      </c>
      <c r="J614" s="204">
        <f ca="1">IFERROR(__xludf.DUMMYFUNCTION("IMPORTRANGE(""https://docs.google.com/spreadsheets/d/1IYY_tgx_IHuhSq3AJ5eI5OnqOPBNLWSHKh2a30DoXe8/edit?usp=sharing"",""ปัตตานี!J509"")"),513.55)</f>
        <v>513.54999999999995</v>
      </c>
      <c r="K614" s="167">
        <f t="shared" ca="1" si="127"/>
        <v>513.54999999999995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IFERROR(__xludf.DUMMYFUNCTION("IMPORTRANGE(""https://docs.google.com/spreadsheets/d/1IYY_tgx_IHuhSq3AJ5eI5OnqOPBNLWSHKh2a30DoXe8/edit?usp=sharing"",""ปัตตานี!I510"")"),0)</f>
        <v>0</v>
      </c>
      <c r="J615" s="204">
        <f ca="1">IFERROR(__xludf.DUMMYFUNCTION("IMPORTRANGE(""https://docs.google.com/spreadsheets/d/1IYY_tgx_IHuhSq3AJ5eI5OnqOPBNLWSHKh2a30DoXe8/edit?usp=sharing"",""ปัตตานี!J510"")"),513.55)</f>
        <v>513.54999999999995</v>
      </c>
      <c r="K615" s="167">
        <f t="shared" ca="1" si="127"/>
        <v>513.54999999999995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IFERROR(__xludf.DUMMYFUNCTION("IMPORTRANGE(""https://docs.google.com/spreadsheets/d/1IYY_tgx_IHuhSq3AJ5eI5OnqOPBNLWSHKh2a30DoXe8/edit?usp=sharing"",""ปัตตานี!I511"")"),0)</f>
        <v>0</v>
      </c>
      <c r="J616" s="204">
        <f ca="1">IFERROR(__xludf.DUMMYFUNCTION("IMPORTRANGE(""https://docs.google.com/spreadsheets/d/1IYY_tgx_IHuhSq3AJ5eI5OnqOPBNLWSHKh2a30DoXe8/edit?usp=sharing"",""ปัตตานี!J511"")"),0)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IFERROR(__xludf.DUMMYFUNCTION("IMPORTRANGE(""https://docs.google.com/spreadsheets/d/1IYY_tgx_IHuhSq3AJ5eI5OnqOPBNLWSHKh2a30DoXe8/edit?usp=sharing"",""ปัตตานี!I512"")"),0)</f>
        <v>0</v>
      </c>
      <c r="J617" s="194">
        <f ca="1">IFERROR(__xludf.DUMMYFUNCTION("IMPORTRANGE(""https://docs.google.com/spreadsheets/d/1IYY_tgx_IHuhSq3AJ5eI5OnqOPBNLWSHKh2a30DoXe8/edit?usp=sharing"",""ปัตตานี!J512"")"),0)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IFERROR(__xludf.DUMMYFUNCTION("IMPORTRANGE(""https://docs.google.com/spreadsheets/d/1IYY_tgx_IHuhSq3AJ5eI5OnqOPBNLWSHKh2a30DoXe8/edit?usp=sharing"",""ปัตตานี!I513"")"),0)</f>
        <v>0</v>
      </c>
      <c r="J618" s="195">
        <f ca="1">IFERROR(__xludf.DUMMYFUNCTION("IMPORTRANGE(""https://docs.google.com/spreadsheets/d/1IYY_tgx_IHuhSq3AJ5eI5OnqOPBNLWSHKh2a30DoXe8/edit?usp=sharing"",""ปัตตานี!J513"")"),0)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IFERROR(__xludf.DUMMYFUNCTION("IMPORTRANGE(""https://docs.google.com/spreadsheets/d/1IYY_tgx_IHuhSq3AJ5eI5OnqOPBNLWSHKh2a30DoXe8/edit?usp=sharing"",""ปัตตานี!I514"")"),0)</f>
        <v>0</v>
      </c>
      <c r="J619" s="195">
        <f ca="1">IFERROR(__xludf.DUMMYFUNCTION("IMPORTRANGE(""https://docs.google.com/spreadsheets/d/1IYY_tgx_IHuhSq3AJ5eI5OnqOPBNLWSHKh2a30DoXe8/edit?usp=sharing"",""ปัตตานี!J514"")"),0)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IFERROR(__xludf.DUMMYFUNCTION("IMPORTRANGE(""https://docs.google.com/spreadsheets/d/1IYY_tgx_IHuhSq3AJ5eI5OnqOPBNLWSHKh2a30DoXe8/edit?usp=sharing"",""ปัตตานี!I515"")"),0)</f>
        <v>0</v>
      </c>
      <c r="J620" s="209">
        <f ca="1">IFERROR(__xludf.DUMMYFUNCTION("IMPORTRANGE(""https://docs.google.com/spreadsheets/d/1IYY_tgx_IHuhSq3AJ5eI5OnqOPBNLWSHKh2a30DoXe8/edit?usp=sharing"",""ปัตตานี!J515"")"),0)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IFERROR(__xludf.DUMMYFUNCTION("IMPORTRANGE(""https://docs.google.com/spreadsheets/d/1IYY_tgx_IHuhSq3AJ5eI5OnqOPBNLWSHKh2a30DoXe8/edit?usp=sharing"",""ปัตตานี!I516"")"),0)</f>
        <v>0</v>
      </c>
      <c r="J621" s="209">
        <f ca="1">IFERROR(__xludf.DUMMYFUNCTION("IMPORTRANGE(""https://docs.google.com/spreadsheets/d/1IYY_tgx_IHuhSq3AJ5eI5OnqOPBNLWSHKh2a30DoXe8/edit?usp=sharing"",""ปัตตานี!J516"")"),0)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IFERROR(__xludf.DUMMYFUNCTION("IMPORTRANGE(""https://docs.google.com/spreadsheets/d/1IYY_tgx_IHuhSq3AJ5eI5OnqOPBNLWSHKh2a30DoXe8/edit?usp=sharing"",""ปัตตานี!I517"")"),0)</f>
        <v>0</v>
      </c>
      <c r="J622" s="195">
        <f ca="1">IFERROR(__xludf.DUMMYFUNCTION("IMPORTRANGE(""https://docs.google.com/spreadsheets/d/1IYY_tgx_IHuhSq3AJ5eI5OnqOPBNLWSHKh2a30DoXe8/edit?usp=sharing"",""ปัตตานี!J517"")"),0)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IFERROR(__xludf.DUMMYFUNCTION("IMPORTRANGE(""https://docs.google.com/spreadsheets/d/1IYY_tgx_IHuhSq3AJ5eI5OnqOPBNLWSHKh2a30DoXe8/edit?usp=sharing"",""ปัตตานี!I518"")"),0)</f>
        <v>0</v>
      </c>
      <c r="J623" s="195">
        <f ca="1">IFERROR(__xludf.DUMMYFUNCTION("IMPORTRANGE(""https://docs.google.com/spreadsheets/d/1IYY_tgx_IHuhSq3AJ5eI5OnqOPBNLWSHKh2a30DoXe8/edit?usp=sharing"",""ปัตตานี!J518"")"),0)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IFERROR(__xludf.DUMMYFUNCTION("IMPORTRANGE(""https://docs.google.com/spreadsheets/d/1IYY_tgx_IHuhSq3AJ5eI5OnqOPBNLWSHKh2a30DoXe8/edit?usp=sharing"",""ปัตตานี!I519"")"),0)</f>
        <v>0</v>
      </c>
      <c r="J624" s="194">
        <f ca="1">IFERROR(__xludf.DUMMYFUNCTION("IMPORTRANGE(""https://docs.google.com/spreadsheets/d/1IYY_tgx_IHuhSq3AJ5eI5OnqOPBNLWSHKh2a30DoXe8/edit?usp=sharing"",""ปัตตานี!J519"")"),0)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IFERROR(__xludf.DUMMYFUNCTION("IMPORTRANGE(""https://docs.google.com/spreadsheets/d/1IYY_tgx_IHuhSq3AJ5eI5OnqOPBNLWSHKh2a30DoXe8/edit?usp=sharing"",""ปัตตานี!I520"")"),0)</f>
        <v>0</v>
      </c>
      <c r="J625" s="195">
        <f ca="1">IFERROR(__xludf.DUMMYFUNCTION("IMPORTRANGE(""https://docs.google.com/spreadsheets/d/1IYY_tgx_IHuhSq3AJ5eI5OnqOPBNLWSHKh2a30DoXe8/edit?usp=sharing"",""ปัตตานี!J520"")"),0)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IFERROR(__xludf.DUMMYFUNCTION("IMPORTRANGE(""https://docs.google.com/spreadsheets/d/1IYY_tgx_IHuhSq3AJ5eI5OnqOPBNLWSHKh2a30DoXe8/edit?usp=sharing"",""ปัตตานี!I521"")"),0)</f>
        <v>0</v>
      </c>
      <c r="J626" s="195">
        <f ca="1">IFERROR(__xludf.DUMMYFUNCTION("IMPORTRANGE(""https://docs.google.com/spreadsheets/d/1IYY_tgx_IHuhSq3AJ5eI5OnqOPBNLWSHKh2a30DoXe8/edit?usp=sharing"",""ปัตตานี!J521"")"),0)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IFERROR(__xludf.DUMMYFUNCTION("IMPORTRANGE(""https://docs.google.com/spreadsheets/d/1IYY_tgx_IHuhSq3AJ5eI5OnqOPBNLWSHKh2a30DoXe8/edit?usp=sharing"",""ปัตตานี!I523"")"),239401.33)</f>
        <v>239401.33</v>
      </c>
      <c r="J628" s="347">
        <f ca="1">IFERROR(__xludf.DUMMYFUNCTION("IMPORTRANGE(""https://docs.google.com/spreadsheets/d/1IYY_tgx_IHuhSq3AJ5eI5OnqOPBNLWSHKh2a30DoXe8/edit?usp=sharing"",""ปัตตานี!J523"")"),88213.34)</f>
        <v>88213.34</v>
      </c>
      <c r="K628" s="348">
        <f t="shared" ref="K628:K635" ca="1" si="129">IF(I628&gt;0,J628*100/I628,0)</f>
        <v>36.847472818968889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IFERROR(__xludf.DUMMYFUNCTION("IMPORTRANGE(""https://docs.google.com/spreadsheets/d/1IYY_tgx_IHuhSq3AJ5eI5OnqOPBNLWSHKh2a30DoXe8/edit?usp=sharing"",""ปัตตานี!I524"")"),20)</f>
        <v>20</v>
      </c>
      <c r="J629" s="347">
        <f ca="1">IFERROR(__xludf.DUMMYFUNCTION("IMPORTRANGE(""https://docs.google.com/spreadsheets/d/1IYY_tgx_IHuhSq3AJ5eI5OnqOPBNLWSHKh2a30DoXe8/edit?usp=sharing"",""ปัตตานี!J524"")"),10)</f>
        <v>10</v>
      </c>
      <c r="K629" s="348">
        <f t="shared" ca="1" si="129"/>
        <v>50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IFERROR(__xludf.DUMMYFUNCTION("IMPORTRANGE(""https://docs.google.com/spreadsheets/d/1IYY_tgx_IHuhSq3AJ5eI5OnqOPBNLWSHKh2a30DoXe8/edit?usp=sharing"",""ปัตตานี!I525"")"),2242432.42)</f>
        <v>2242432.42</v>
      </c>
      <c r="J630" s="347">
        <f ca="1">IFERROR(__xludf.DUMMYFUNCTION("IMPORTRANGE(""https://docs.google.com/spreadsheets/d/1IYY_tgx_IHuhSq3AJ5eI5OnqOPBNLWSHKh2a30DoXe8/edit?usp=sharing"",""ปัตตานี!J525"")"),130093.89)</f>
        <v>130093.89</v>
      </c>
      <c r="K630" s="348">
        <f t="shared" ca="1" si="129"/>
        <v>5.8014631272589252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IFERROR(__xludf.DUMMYFUNCTION("IMPORTRANGE(""https://docs.google.com/spreadsheets/d/1IYY_tgx_IHuhSq3AJ5eI5OnqOPBNLWSHKh2a30DoXe8/edit?usp=sharing"",""ปัตตานี!I526"")"),149)</f>
        <v>149</v>
      </c>
      <c r="J631" s="347">
        <f ca="1">IFERROR(__xludf.DUMMYFUNCTION("IMPORTRANGE(""https://docs.google.com/spreadsheets/d/1IYY_tgx_IHuhSq3AJ5eI5OnqOPBNLWSHKh2a30DoXe8/edit?usp=sharing"",""ปัตตานี!J526"")"),94)</f>
        <v>94</v>
      </c>
      <c r="K631" s="348">
        <f t="shared" ca="1" si="129"/>
        <v>63.087248322147651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IFERROR(__xludf.DUMMYFUNCTION("IMPORTRANGE(""https://docs.google.com/spreadsheets/d/1IYY_tgx_IHuhSq3AJ5eI5OnqOPBNLWSHKh2a30DoXe8/edit?usp=sharing"",""ปัตตานี!I527"")"),45520.74)</f>
        <v>45520.74</v>
      </c>
      <c r="J632" s="347">
        <f ca="1">IFERROR(__xludf.DUMMYFUNCTION("IMPORTRANGE(""https://docs.google.com/spreadsheets/d/1IYY_tgx_IHuhSq3AJ5eI5OnqOPBNLWSHKh2a30DoXe8/edit?usp=sharing"",""ปัตตานี!J527"")"),58225.21)</f>
        <v>58225.21</v>
      </c>
      <c r="K632" s="348">
        <f t="shared" ca="1" si="129"/>
        <v>127.90919040419818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IFERROR(__xludf.DUMMYFUNCTION("IMPORTRANGE(""https://docs.google.com/spreadsheets/d/1IYY_tgx_IHuhSq3AJ5eI5OnqOPBNLWSHKh2a30DoXe8/edit?usp=sharing"",""ปัตตานี!I528"")"),86)</f>
        <v>86</v>
      </c>
      <c r="J633" s="347">
        <f ca="1">IFERROR(__xludf.DUMMYFUNCTION("IMPORTRANGE(""https://docs.google.com/spreadsheets/d/1IYY_tgx_IHuhSq3AJ5eI5OnqOPBNLWSHKh2a30DoXe8/edit?usp=sharing"",""ปัตตานี!J528"")"),58)</f>
        <v>58</v>
      </c>
      <c r="K633" s="348">
        <f t="shared" ca="1" si="129"/>
        <v>67.441860465116278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IFERROR(__xludf.DUMMYFUNCTION("IMPORTRANGE(""https://docs.google.com/spreadsheets/d/1IYY_tgx_IHuhSq3AJ5eI5OnqOPBNLWSHKh2a30DoXe8/edit?usp=sharing"",""ปัตตานี!I529"")"),1204000)</f>
        <v>1204000</v>
      </c>
      <c r="J634" s="347">
        <f ca="1">IFERROR(__xludf.DUMMYFUNCTION("IMPORTRANGE(""https://docs.google.com/spreadsheets/d/1IYY_tgx_IHuhSq3AJ5eI5OnqOPBNLWSHKh2a30DoXe8/edit?usp=sharing"",""ปัตตานี!J529"")"),144000)</f>
        <v>144000</v>
      </c>
      <c r="K634" s="348">
        <f t="shared" ca="1" si="129"/>
        <v>11.960132890365449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IFERROR(__xludf.DUMMYFUNCTION("IMPORTRANGE(""https://docs.google.com/spreadsheets/d/1IYY_tgx_IHuhSq3AJ5eI5OnqOPBNLWSHKh2a30DoXe8/edit?usp=sharing"",""ปัตตานี!I530"")"),28)</f>
        <v>28</v>
      </c>
      <c r="J635" s="517">
        <f ca="1">IFERROR(__xludf.DUMMYFUNCTION("IMPORTRANGE(""https://docs.google.com/spreadsheets/d/1IYY_tgx_IHuhSq3AJ5eI5OnqOPBNLWSHKh2a30DoXe8/edit?usp=sharing"",""ปัตตานี!J530"")"),4)</f>
        <v>4</v>
      </c>
      <c r="K635" s="492">
        <f t="shared" ca="1" si="129"/>
        <v>14.285714285714286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activeCell="L11" sqref="L1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269531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251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3449497.02</v>
      </c>
      <c r="M8" s="23">
        <f t="shared" ca="1" si="0"/>
        <v>1889303</v>
      </c>
      <c r="N8" s="23">
        <f t="shared" ca="1" si="0"/>
        <v>1343117.9300000002</v>
      </c>
      <c r="O8" s="22">
        <f t="shared" ref="O8:O16" ca="1" si="1">IF(L8&gt;0,N8*100/L8,0)</f>
        <v>38.936631114990796</v>
      </c>
      <c r="P8" s="22">
        <f t="shared" ref="P8:P16" ca="1" si="2">IF(M8&gt;0,N8*100/M8,0)</f>
        <v>71.090657771675609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3449497.02</v>
      </c>
      <c r="M10" s="30">
        <f t="shared" ca="1" si="4"/>
        <v>1889303</v>
      </c>
      <c r="N10" s="30">
        <f t="shared" ca="1" si="4"/>
        <v>1343117.9300000002</v>
      </c>
      <c r="O10" s="29">
        <f t="shared" ca="1" si="1"/>
        <v>38.936631114990796</v>
      </c>
      <c r="P10" s="29">
        <f t="shared" ca="1" si="2"/>
        <v>71.090657771675609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3275297.02</v>
      </c>
      <c r="M12" s="38">
        <f t="shared" ca="1" si="6"/>
        <v>1715103</v>
      </c>
      <c r="N12" s="38">
        <f t="shared" ca="1" si="6"/>
        <v>1168917.9300000002</v>
      </c>
      <c r="O12" s="38">
        <f t="shared" ca="1" si="1"/>
        <v>35.688913795060948</v>
      </c>
      <c r="P12" s="38">
        <f t="shared" ca="1" si="2"/>
        <v>68.154386646166444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1741200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1534097.02</v>
      </c>
      <c r="M14" s="38">
        <f t="shared" si="8"/>
        <v>0</v>
      </c>
      <c r="N14" s="38">
        <f t="shared" ca="1" si="8"/>
        <v>195600</v>
      </c>
      <c r="O14" s="41">
        <f t="shared" ca="1" si="1"/>
        <v>12.75017143309489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174200</v>
      </c>
      <c r="M16" s="38">
        <f t="shared" ca="1" si="10"/>
        <v>174200</v>
      </c>
      <c r="N16" s="38">
        <f t="shared" ca="1" si="10"/>
        <v>174200</v>
      </c>
      <c r="O16" s="50">
        <f t="shared" ca="1" si="1"/>
        <v>100</v>
      </c>
      <c r="P16" s="50">
        <f t="shared" ca="1" si="2"/>
        <v>100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2380125</v>
      </c>
      <c r="M18" s="23">
        <f t="shared" ca="1" si="11"/>
        <v>1889303</v>
      </c>
      <c r="N18" s="23">
        <f t="shared" ca="1" si="11"/>
        <v>1147517.9300000002</v>
      </c>
      <c r="O18" s="22">
        <f t="shared" ref="O18:O20" ca="1" si="12">IF(L18&gt;0,N18*100/L18,0)</f>
        <v>48.212506906149891</v>
      </c>
      <c r="P18" s="22">
        <f t="shared" ref="P18:P26" ca="1" si="13">IF(M18&gt;0,N18*100/M18,0)</f>
        <v>60.737633402371145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2380125</v>
      </c>
      <c r="M20" s="30">
        <f t="shared" ca="1" si="15"/>
        <v>1889303</v>
      </c>
      <c r="N20" s="30">
        <f t="shared" ca="1" si="15"/>
        <v>1147517.9300000002</v>
      </c>
      <c r="O20" s="29">
        <f t="shared" ca="1" si="12"/>
        <v>48.212506906149891</v>
      </c>
      <c r="P20" s="29">
        <f t="shared" ca="1" si="13"/>
        <v>60.737633402371145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2205925</v>
      </c>
      <c r="M22" s="42">
        <f t="shared" ca="1" si="18"/>
        <v>1715103</v>
      </c>
      <c r="N22" s="41">
        <f t="shared" ca="1" si="18"/>
        <v>973317.93</v>
      </c>
      <c r="O22" s="41">
        <f t="shared" ca="1" si="17"/>
        <v>44.122893117399727</v>
      </c>
      <c r="P22" s="41">
        <f t="shared" ca="1" si="13"/>
        <v>56.74982377151693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1741200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464725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174200</v>
      </c>
      <c r="M26" s="50">
        <f t="shared" ca="1" si="22"/>
        <v>174200</v>
      </c>
      <c r="N26" s="50">
        <f t="shared" ca="1" si="22"/>
        <v>174200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1069372.02</v>
      </c>
      <c r="M28" s="23">
        <f t="shared" si="23"/>
        <v>0</v>
      </c>
      <c r="N28" s="23">
        <f t="shared" ca="1" si="23"/>
        <v>195600</v>
      </c>
      <c r="O28" s="22">
        <f t="shared" ref="O28:O30" ca="1" si="24">IF(L28&gt;0,N28*100/L28,0)</f>
        <v>18.291108832265873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1069372.02</v>
      </c>
      <c r="M30" s="30">
        <f t="shared" si="27"/>
        <v>0</v>
      </c>
      <c r="N30" s="30">
        <f t="shared" ca="1" si="27"/>
        <v>195600</v>
      </c>
      <c r="O30" s="29">
        <f t="shared" ca="1" si="24"/>
        <v>18.291108832265873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t="shared" ref="L32:N32" ca="1" si="30">L352+L383+L404+L437+L457+L535+L553+L566+L582+L599</f>
        <v>1069372.02</v>
      </c>
      <c r="M32" s="41">
        <f t="shared" si="30"/>
        <v>0</v>
      </c>
      <c r="N32" s="41">
        <f t="shared" ca="1" si="30"/>
        <v>195600</v>
      </c>
      <c r="O32" s="41">
        <f t="shared" ca="1" si="29"/>
        <v>18.291108832265873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1">L353+L384+L405+L438+L458+L536+L554+L567+L583+L600</f>
        <v>0</v>
      </c>
      <c r="M33" s="41">
        <f t="shared" si="31"/>
        <v>0</v>
      </c>
      <c r="N33" s="41">
        <f t="shared" ca="1" si="31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2">L354+L385+L406+L439+L459+L537+L555+L568+L584+L601</f>
        <v>1069372.02</v>
      </c>
      <c r="M34" s="41">
        <f t="shared" si="32"/>
        <v>0</v>
      </c>
      <c r="N34" s="41">
        <f t="shared" ca="1" si="32"/>
        <v>195600</v>
      </c>
      <c r="O34" s="41">
        <f t="shared" ca="1" si="29"/>
        <v>18.291108832265873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0</v>
      </c>
      <c r="M36" s="52">
        <v>0</v>
      </c>
      <c r="N36" s="52">
        <v>0</v>
      </c>
      <c r="O36" s="50">
        <f t="shared" si="29"/>
        <v>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3">L41+L53+L66+L94+L118+L140+L220+L250+L271+L290+L310+L329</f>
        <v>2380125</v>
      </c>
      <c r="M37" s="55">
        <f t="shared" ca="1" si="33"/>
        <v>1889303</v>
      </c>
      <c r="N37" s="55">
        <f t="shared" ca="1" si="33"/>
        <v>1147517.9300000002</v>
      </c>
      <c r="O37" s="56">
        <f t="shared" ca="1" si="29"/>
        <v>48.212506906149891</v>
      </c>
      <c r="P37" s="56">
        <f t="shared" ca="1" si="25"/>
        <v>60.737633402371145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4">L42+L43</f>
        <v>915600</v>
      </c>
      <c r="M41" s="79">
        <f t="shared" ca="1" si="34"/>
        <v>713700</v>
      </c>
      <c r="N41" s="79">
        <f t="shared" ca="1" si="34"/>
        <v>511451.9</v>
      </c>
      <c r="O41" s="78">
        <f t="shared" ref="O41:O43" ca="1" si="35">IF(L41&gt;0,N41*100/L41,0)</f>
        <v>55.859753167321976</v>
      </c>
      <c r="P41" s="78">
        <f t="shared" ref="P41:P43" ca="1" si="36">IF(M41&gt;0,N41*100/M41,0)</f>
        <v>71.662028863668212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7">L44+L48</f>
        <v>0</v>
      </c>
      <c r="M42" s="79">
        <f t="shared" si="37"/>
        <v>0</v>
      </c>
      <c r="N42" s="79">
        <f t="shared" si="37"/>
        <v>0</v>
      </c>
      <c r="O42" s="78">
        <f t="shared" si="35"/>
        <v>0</v>
      </c>
      <c r="P42" s="78">
        <f t="shared" si="36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8">L45+L49</f>
        <v>915600</v>
      </c>
      <c r="M43" s="79">
        <f t="shared" ca="1" si="38"/>
        <v>713700</v>
      </c>
      <c r="N43" s="79">
        <f t="shared" ca="1" si="38"/>
        <v>511451.9</v>
      </c>
      <c r="O43" s="78">
        <f t="shared" ca="1" si="35"/>
        <v>55.859753167321976</v>
      </c>
      <c r="P43" s="78">
        <f t="shared" ca="1" si="36"/>
        <v>71.662028863668212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915600</v>
      </c>
      <c r="M45" s="91">
        <f ca="1">IFERROR(__xludf.DUMMYFUNCTION("IMPORTRANGE(""https://docs.google.com/spreadsheets/d/1Yj_ptqi66GCucihVvJfMjLAmec39IyEx_6qawtMGysU/edit?usp=sharing"",""สบก!Q87"")"),713700)</f>
        <v>713700</v>
      </c>
      <c r="N45" s="91">
        <f ca="1">IFERROR(__xludf.DUMMYFUNCTION("IMPORTRANGE(""https://docs.google.com/spreadsheets/d/1Yj_ptqi66GCucihVvJfMjLAmec39IyEx_6qawtMGysU/edit?usp=sharing"",""สบก!R87"")"),511451.9)</f>
        <v>511451.9</v>
      </c>
      <c r="O45" s="92">
        <f ca="1">IF(L45&gt;0,N45*100/L45,0)</f>
        <v>55.859753167321976</v>
      </c>
      <c r="P45" s="92">
        <f ca="1">IF(M45&gt;0,N45*100/M45,0)</f>
        <v>71.662028863668212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IFERROR(__xludf.DUMMYFUNCTION("IMPORTRANGE(""https://docs.google.com/spreadsheets/d/1Yj_ptqi66GCucihVvJfMjLAmec39IyEx_6qawtMGysU/edit?usp=sharing"",""สบก!M87"")"),915600)</f>
        <v>915600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IFERROR(__xludf.DUMMYFUNCTION("IMPORTRANGE(""https://docs.google.com/spreadsheets/d/1Yj_ptqi66GCucihVvJfMjLAmec39IyEx_6qawtMGysU/edit?usp=sharing"",""สบก!N87"")"),0)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IFERROR(__xludf.DUMMYFUNCTION("IMPORTRANGE(""https://docs.google.com/spreadsheets/d/1Yj_ptqi66GCucihVvJfMjLAmec39IyEx_6qawtMGysU/edit?usp=sharing"",""สบก!O87"")"),0)</f>
        <v>0</v>
      </c>
      <c r="M49" s="101"/>
      <c r="N49" s="91">
        <f ca="1">IFERROR(__xludf.DUMMYFUNCTION("IMPORTRANGE(""https://docs.google.com/spreadsheets/d/1Yj_ptqi66GCucihVvJfMjLAmec39IyEx_6qawtMGysU/edit?usp=sharing"",""สบก!S87"")"),0)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9">L54+L55</f>
        <v>201600</v>
      </c>
      <c r="M53" s="125">
        <f t="shared" ca="1" si="39"/>
        <v>171630</v>
      </c>
      <c r="N53" s="125">
        <f t="shared" ca="1" si="39"/>
        <v>112106</v>
      </c>
      <c r="O53" s="124">
        <f t="shared" ref="O53:O55" ca="1" si="40">IF(L53&gt;0,N53*100/L53,0)</f>
        <v>55.608134920634917</v>
      </c>
      <c r="P53" s="124">
        <f t="shared" ref="P53:P55" ca="1" si="41">IF(M53&gt;0,N53*100/M53,0)</f>
        <v>65.318417526073532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2">L56+L60</f>
        <v>0</v>
      </c>
      <c r="M54" s="125">
        <f t="shared" si="42"/>
        <v>0</v>
      </c>
      <c r="N54" s="125">
        <f t="shared" si="42"/>
        <v>0</v>
      </c>
      <c r="O54" s="124">
        <f t="shared" si="40"/>
        <v>0</v>
      </c>
      <c r="P54" s="124">
        <f t="shared" si="41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3">L57+L61</f>
        <v>201600</v>
      </c>
      <c r="M55" s="125">
        <f t="shared" ca="1" si="43"/>
        <v>171630</v>
      </c>
      <c r="N55" s="125">
        <f t="shared" ca="1" si="43"/>
        <v>112106</v>
      </c>
      <c r="O55" s="124">
        <f t="shared" ca="1" si="40"/>
        <v>55.608134920634917</v>
      </c>
      <c r="P55" s="124">
        <f t="shared" ca="1" si="41"/>
        <v>65.318417526073532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201600</v>
      </c>
      <c r="M57" s="91">
        <f ca="1">IFERROR(__xludf.DUMMYFUNCTION("IMPORTRANGE(""https://docs.google.com/spreadsheets/d/1Yj_ptqi66GCucihVvJfMjLAmec39IyEx_6qawtMGysU/edit?usp=sharing"",""สบก!Z87"")"),171630)</f>
        <v>171630</v>
      </c>
      <c r="N57" s="91">
        <f ca="1">IFERROR(__xludf.DUMMYFUNCTION("IMPORTRANGE(""https://docs.google.com/spreadsheets/d/1Yj_ptqi66GCucihVvJfMjLAmec39IyEx_6qawtMGysU/edit?usp=sharing"",""สบก!AA87"")"),112106)</f>
        <v>112106</v>
      </c>
      <c r="O57" s="92">
        <f ca="1">IF(L57&gt;0,N57*100/L57,0)</f>
        <v>55.608134920634917</v>
      </c>
      <c r="P57" s="92">
        <f ca="1">IF(M57&gt;0,N57*100/M57,0)</f>
        <v>65.318417526073532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IFERROR(__xludf.DUMMYFUNCTION("IMPORTRANGE(""https://docs.google.com/spreadsheets/d/1Yj_ptqi66GCucihVvJfMjLAmec39IyEx_6qawtMGysU/edit?usp=sharing"",""สบก!V87"")"),201600)</f>
        <v>201600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IFERROR(__xludf.DUMMYFUNCTION("IMPORTRANGE(""https://docs.google.com/spreadsheets/d/1Yj_ptqi66GCucihVvJfMjLAmec39IyEx_6qawtMGysU/edit?usp=sharing"",""สบก!W87"")"),0)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IFERROR(__xludf.DUMMYFUNCTION("IMPORTRANGE(""https://docs.google.com/spreadsheets/d/1Yj_ptqi66GCucihVvJfMjLAmec39IyEx_6qawtMGysU/edit?usp=sharing"",""สบก!X87"")"),0)</f>
        <v>0</v>
      </c>
      <c r="M61" s="101"/>
      <c r="N61" s="91">
        <f ca="1">IFERROR(__xludf.DUMMYFUNCTION("IMPORTRANGE(""https://docs.google.com/spreadsheets/d/1Yj_ptqi66GCucihVvJfMjLAmec39IyEx_6qawtMGysU/edit?usp=sharing"",""สบก!AB87"")"),0)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IFERROR(__xludf.DUMMYFUNCTION("IMPORTRANGE(""https://docs.google.com/spreadsheets/d/1IYY_tgx_IHuhSq3AJ5eI5OnqOPBNLWSHKh2a30DoXe8/edit?usp=sharing"",""พังงา!I9"")"),0)</f>
        <v>0</v>
      </c>
      <c r="J64" s="146">
        <f ca="1">IFERROR(__xludf.DUMMYFUNCTION("IMPORTRANGE(""https://docs.google.com/spreadsheets/d/1IYY_tgx_IHuhSq3AJ5eI5OnqOPBNLWSHKh2a30DoXe8/edit?usp=sharing"",""พังงา!J9"")"),0)</f>
        <v>0</v>
      </c>
      <c r="K64" s="147">
        <f t="shared" ref="K64:K65" ca="1" si="44">IF(I64&gt;0,J64*100/I64,0)</f>
        <v>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IFERROR(__xludf.DUMMYFUNCTION("IMPORTRANGE(""https://docs.google.com/spreadsheets/d/1IYY_tgx_IHuhSq3AJ5eI5OnqOPBNLWSHKh2a30DoXe8/edit?usp=sharing"",""พังงา!I10"")"),0)</f>
        <v>0</v>
      </c>
      <c r="J65" s="146">
        <f ca="1">IFERROR(__xludf.DUMMYFUNCTION("IMPORTRANGE(""https://docs.google.com/spreadsheets/d/1IYY_tgx_IHuhSq3AJ5eI5OnqOPBNLWSHKh2a30DoXe8/edit?usp=sharing"",""พังงา!J10"")"),0)</f>
        <v>0</v>
      </c>
      <c r="K65" s="147">
        <f t="shared" ca="1" si="44"/>
        <v>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5">L67+L68</f>
        <v>0</v>
      </c>
      <c r="M66" s="156">
        <f t="shared" ca="1" si="45"/>
        <v>0</v>
      </c>
      <c r="N66" s="156">
        <f t="shared" ca="1" si="45"/>
        <v>0</v>
      </c>
      <c r="O66" s="155">
        <f t="shared" ref="O66:O68" ca="1" si="46">IF(L66&gt;0,N66*100/L66,0)</f>
        <v>0</v>
      </c>
      <c r="P66" s="155">
        <f t="shared" ref="P66:P68" ca="1" si="47">IF(M66&gt;0,N66*100/M66,0)</f>
        <v>0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8">L69+L73</f>
        <v>0</v>
      </c>
      <c r="M67" s="161">
        <f t="shared" si="48"/>
        <v>0</v>
      </c>
      <c r="N67" s="161">
        <f t="shared" si="48"/>
        <v>0</v>
      </c>
      <c r="O67" s="160">
        <f t="shared" si="46"/>
        <v>0</v>
      </c>
      <c r="P67" s="160">
        <f t="shared" si="47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9">L70+L74</f>
        <v>0</v>
      </c>
      <c r="M68" s="161">
        <f t="shared" ca="1" si="49"/>
        <v>0</v>
      </c>
      <c r="N68" s="161">
        <f t="shared" ca="1" si="49"/>
        <v>0</v>
      </c>
      <c r="O68" s="160">
        <f t="shared" ca="1" si="46"/>
        <v>0</v>
      </c>
      <c r="P68" s="160">
        <f t="shared" ca="1" si="47"/>
        <v>0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0</v>
      </c>
      <c r="M70" s="173">
        <f ca="1">IFERROR(__xludf.DUMMYFUNCTION("IMPORTRANGE(""https://docs.google.com/spreadsheets/d/1Yj_ptqi66GCucihVvJfMjLAmec39IyEx_6qawtMGysU/edit?usp=sharing"",""สบก!AI87"")"),0)</f>
        <v>0</v>
      </c>
      <c r="N70" s="174">
        <f ca="1">IFERROR(__xludf.DUMMYFUNCTION("IMPORTRANGE(""https://docs.google.com/spreadsheets/d/1Yj_ptqi66GCucihVvJfMjLAmec39IyEx_6qawtMGysU/edit?usp=sharing"",""สบก!AJ87"")"),0)</f>
        <v>0</v>
      </c>
      <c r="O70" s="175">
        <f ca="1">IF(L70&gt;0,N70*100/L70,0)</f>
        <v>0</v>
      </c>
      <c r="P70" s="175">
        <f ca="1">IF(M70&gt;0,N70*100/M70,0)</f>
        <v>0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IFERROR(__xludf.DUMMYFUNCTION("IMPORTRANGE(""https://docs.google.com/spreadsheets/d/1Yj_ptqi66GCucihVvJfMjLAmec39IyEx_6qawtMGysU/edit?usp=sharing"",""สบก!AE87"")"),0)</f>
        <v>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IFERROR(__xludf.DUMMYFUNCTION("IMPORTRANGE(""https://docs.google.com/spreadsheets/d/1Yj_ptqi66GCucihVvJfMjLAmec39IyEx_6qawtMGysU/edit?usp=sharing"",""สบก!AF87"")"),0)</f>
        <v>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IFERROR(__xludf.DUMMYFUNCTION("IMPORTRANGE(""https://docs.google.com/spreadsheets/d/1Yj_ptqi66GCucihVvJfMjLAmec39IyEx_6qawtMGysU/edit?usp=sharing"",""สบก!AG87"")"),0)</f>
        <v>0</v>
      </c>
      <c r="M74" s="101"/>
      <c r="N74" s="91">
        <f ca="1">IFERROR(__xludf.DUMMYFUNCTION("IMPORTRANGE(""https://docs.google.com/spreadsheets/d/1Yj_ptqi66GCucihVvJfMjLAmec39IyEx_6qawtMGysU/edit?usp=sharing"",""สบก!AK87"")"),0)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IFERROR(__xludf.DUMMYFUNCTION("IMPORTRANGE(""https://docs.google.com/spreadsheets/d/1IYY_tgx_IHuhSq3AJ5eI5OnqOPBNLWSHKh2a30DoXe8/edit?usp=sharing"",""พังงา!J16"")"),0)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IFERROR(__xludf.DUMMYFUNCTION("IMPORTRANGE(""https://docs.google.com/spreadsheets/d/1IYY_tgx_IHuhSq3AJ5eI5OnqOPBNLWSHKh2a30DoXe8/edit?usp=sharing"",""พังงา!J17"")"),0)</f>
        <v>0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IFERROR(__xludf.DUMMYFUNCTION("IMPORTRANGE(""https://docs.google.com/spreadsheets/d/1IYY_tgx_IHuhSq3AJ5eI5OnqOPBNLWSHKh2a30DoXe8/edit?usp=sharing"",""พังงา!J18"")"),0)</f>
        <v>0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IFERROR(__xludf.DUMMYFUNCTION("IMPORTRANGE(""https://docs.google.com/spreadsheets/d/1IYY_tgx_IHuhSq3AJ5eI5OnqOPBNLWSHKh2a30DoXe8/edit?usp=sharing"",""พังงา!J19"")"),0)</f>
        <v>0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IFERROR(__xludf.DUMMYFUNCTION("IMPORTRANGE(""https://docs.google.com/spreadsheets/d/1IYY_tgx_IHuhSq3AJ5eI5OnqOPBNLWSHKh2a30DoXe8/edit?usp=sharing"",""พังงา!I20"")"),0)</f>
        <v>0</v>
      </c>
      <c r="J80" s="207">
        <f ca="1">IFERROR(__xludf.DUMMYFUNCTION("IMPORTRANGE(""https://docs.google.com/spreadsheets/d/1IYY_tgx_IHuhSq3AJ5eI5OnqOPBNLWSHKh2a30DoXe8/edit?usp=sharing"",""พังงา!J20"")"),0)</f>
        <v>0</v>
      </c>
      <c r="K80" s="208">
        <f t="shared" ref="K80:K88" ca="1" si="50">IF(I80&gt;0,J80*100/I80,0)</f>
        <v>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IFERROR(__xludf.DUMMYFUNCTION("IMPORTRANGE(""https://docs.google.com/spreadsheets/d/1IYY_tgx_IHuhSq3AJ5eI5OnqOPBNLWSHKh2a30DoXe8/edit?usp=sharing"",""พังงา!I21"")"),0)</f>
        <v>0</v>
      </c>
      <c r="J81" s="207">
        <f ca="1">IFERROR(__xludf.DUMMYFUNCTION("IMPORTRANGE(""https://docs.google.com/spreadsheets/d/1IYY_tgx_IHuhSq3AJ5eI5OnqOPBNLWSHKh2a30DoXe8/edit?usp=sharing"",""พังงา!J21"")"),0)</f>
        <v>0</v>
      </c>
      <c r="K81" s="208">
        <f t="shared" ca="1" si="50"/>
        <v>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IFERROR(__xludf.DUMMYFUNCTION("IMPORTRANGE(""https://docs.google.com/spreadsheets/d/1IYY_tgx_IHuhSq3AJ5eI5OnqOPBNLWSHKh2a30DoXe8/edit?usp=sharing"",""พังงา!I22"")"),0)</f>
        <v>0</v>
      </c>
      <c r="J82" s="210">
        <f ca="1">IFERROR(__xludf.DUMMYFUNCTION("IMPORTRANGE(""https://docs.google.com/spreadsheets/d/1IYY_tgx_IHuhSq3AJ5eI5OnqOPBNLWSHKh2a30DoXe8/edit?usp=sharing"",""พังงา!J22"")"),0)</f>
        <v>0</v>
      </c>
      <c r="K82" s="167">
        <f t="shared" ca="1" si="50"/>
        <v>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IFERROR(__xludf.DUMMYFUNCTION("IMPORTRANGE(""https://docs.google.com/spreadsheets/d/1IYY_tgx_IHuhSq3AJ5eI5OnqOPBNLWSHKh2a30DoXe8/edit?usp=sharing"",""พังงา!I23"")"),0)</f>
        <v>0</v>
      </c>
      <c r="J83" s="210">
        <f ca="1">IFERROR(__xludf.DUMMYFUNCTION("IMPORTRANGE(""https://docs.google.com/spreadsheets/d/1IYY_tgx_IHuhSq3AJ5eI5OnqOPBNLWSHKh2a30DoXe8/edit?usp=sharing"",""พังงา!J23"")"),0)</f>
        <v>0</v>
      </c>
      <c r="K83" s="167">
        <f t="shared" ca="1" si="50"/>
        <v>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IFERROR(__xludf.DUMMYFUNCTION("IMPORTRANGE(""https://docs.google.com/spreadsheets/d/1IYY_tgx_IHuhSq3AJ5eI5OnqOPBNLWSHKh2a30DoXe8/edit?usp=sharing"",""พังงา!I24"")"),0)</f>
        <v>0</v>
      </c>
      <c r="J84" s="195">
        <f ca="1">IFERROR(__xludf.DUMMYFUNCTION("IMPORTRANGE(""https://docs.google.com/spreadsheets/d/1IYY_tgx_IHuhSq3AJ5eI5OnqOPBNLWSHKh2a30DoXe8/edit?usp=sharing"",""พังงา!J24"")"),0)</f>
        <v>0</v>
      </c>
      <c r="K84" s="167">
        <f t="shared" ca="1" si="50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IFERROR(__xludf.DUMMYFUNCTION("IMPORTRANGE(""https://docs.google.com/spreadsheets/d/1IYY_tgx_IHuhSq3AJ5eI5OnqOPBNLWSHKh2a30DoXe8/edit?usp=sharing"",""พังงา!I25"")"),0)</f>
        <v>0</v>
      </c>
      <c r="J85" s="195">
        <f ca="1">IFERROR(__xludf.DUMMYFUNCTION("IMPORTRANGE(""https://docs.google.com/spreadsheets/d/1IYY_tgx_IHuhSq3AJ5eI5OnqOPBNLWSHKh2a30DoXe8/edit?usp=sharing"",""พังงา!J25"")"),0)</f>
        <v>0</v>
      </c>
      <c r="K85" s="167">
        <f t="shared" ca="1" si="50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IFERROR(__xludf.DUMMYFUNCTION("IMPORTRANGE(""https://docs.google.com/spreadsheets/d/1IYY_tgx_IHuhSq3AJ5eI5OnqOPBNLWSHKh2a30DoXe8/edit?usp=sharing"",""พังงา!I26"")"),0)</f>
        <v>0</v>
      </c>
      <c r="J86" s="210">
        <f ca="1">IFERROR(__xludf.DUMMYFUNCTION("IMPORTRANGE(""https://docs.google.com/spreadsheets/d/1IYY_tgx_IHuhSq3AJ5eI5OnqOPBNLWSHKh2a30DoXe8/edit?usp=sharing"",""พังงา!J26"")"),0)</f>
        <v>0</v>
      </c>
      <c r="K86" s="167">
        <f t="shared" ca="1" si="50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IFERROR(__xludf.DUMMYFUNCTION("IMPORTRANGE(""https://docs.google.com/spreadsheets/d/1IYY_tgx_IHuhSq3AJ5eI5OnqOPBNLWSHKh2a30DoXe8/edit?usp=sharing"",""พังงา!I27"")"),0)</f>
        <v>0</v>
      </c>
      <c r="J87" s="210">
        <f ca="1">IFERROR(__xludf.DUMMYFUNCTION("IMPORTRANGE(""https://docs.google.com/spreadsheets/d/1IYY_tgx_IHuhSq3AJ5eI5OnqOPBNLWSHKh2a30DoXe8/edit?usp=sharing"",""พังงา!J27"")"),0)</f>
        <v>0</v>
      </c>
      <c r="K87" s="167">
        <f t="shared" ca="1" si="50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IFERROR(__xludf.DUMMYFUNCTION("IMPORTRANGE(""https://docs.google.com/spreadsheets/d/1IYY_tgx_IHuhSq3AJ5eI5OnqOPBNLWSHKh2a30DoXe8/edit?usp=sharing"",""พังงา!I28"")"),0)</f>
        <v>0</v>
      </c>
      <c r="J88" s="210">
        <f ca="1">IFERROR(__xludf.DUMMYFUNCTION("IMPORTRANGE(""https://docs.google.com/spreadsheets/d/1IYY_tgx_IHuhSq3AJ5eI5OnqOPBNLWSHKh2a30DoXe8/edit?usp=sharing"",""พังงา!J28"")"),0)</f>
        <v>0</v>
      </c>
      <c r="K88" s="167">
        <f t="shared" ca="1" si="50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IFERROR(__xludf.DUMMYFUNCTION("IMPORTRANGE(""https://docs.google.com/spreadsheets/d/1IYY_tgx_IHuhSq3AJ5eI5OnqOPBNLWSHKh2a30DoXe8/edit?usp=sharing"",""พังงา!J29"")"),0)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IFERROR(__xludf.DUMMYFUNCTION("IMPORTRANGE(""https://docs.google.com/spreadsheets/d/1IYY_tgx_IHuhSq3AJ5eI5OnqOPBNLWSHKh2a30DoXe8/edit?usp=sharing"",""พังงา!J30"")"),0)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IFERROR(__xludf.DUMMYFUNCTION("IMPORTRANGE(""https://docs.google.com/spreadsheets/d/1IYY_tgx_IHuhSq3AJ5eI5OnqOPBNLWSHKh2a30DoXe8/edit?usp=sharing"",""พังงา!I32"")"),0)</f>
        <v>0</v>
      </c>
      <c r="J92" s="146">
        <f ca="1">IFERROR(__xludf.DUMMYFUNCTION("IMPORTRANGE(""https://docs.google.com/spreadsheets/d/1IYY_tgx_IHuhSq3AJ5eI5OnqOPBNLWSHKh2a30DoXe8/edit?usp=sharing"",""พังงา!J32"")"),0)</f>
        <v>0</v>
      </c>
      <c r="K92" s="147">
        <f t="shared" ref="K92:K93" ca="1" si="51">IF(I92&gt;0,J92*100/I92,0)</f>
        <v>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IFERROR(__xludf.DUMMYFUNCTION("IMPORTRANGE(""https://docs.google.com/spreadsheets/d/1IYY_tgx_IHuhSq3AJ5eI5OnqOPBNLWSHKh2a30DoXe8/edit?usp=sharing"",""พังงา!I33"")"),0)</f>
        <v>0</v>
      </c>
      <c r="J93" s="146">
        <f ca="1">IFERROR(__xludf.DUMMYFUNCTION("IMPORTRANGE(""https://docs.google.com/spreadsheets/d/1IYY_tgx_IHuhSq3AJ5eI5OnqOPBNLWSHKh2a30DoXe8/edit?usp=sharing"",""พังงา!J33"")"),0)</f>
        <v>0</v>
      </c>
      <c r="K93" s="147">
        <f t="shared" ca="1" si="51"/>
        <v>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2">L95+L96</f>
        <v>0</v>
      </c>
      <c r="M94" s="156">
        <f t="shared" ca="1" si="52"/>
        <v>0</v>
      </c>
      <c r="N94" s="156">
        <f t="shared" ca="1" si="52"/>
        <v>0</v>
      </c>
      <c r="O94" s="155">
        <f t="shared" ref="O94:O96" ca="1" si="53">IF(L94&gt;0,N94*100/L94,0)</f>
        <v>0</v>
      </c>
      <c r="P94" s="155">
        <f t="shared" ref="P94:P96" ca="1" si="54">IF(M94&gt;0,N94*100/M94,0)</f>
        <v>0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5">L97+L101</f>
        <v>0</v>
      </c>
      <c r="M95" s="161">
        <f t="shared" si="55"/>
        <v>0</v>
      </c>
      <c r="N95" s="161">
        <f t="shared" si="55"/>
        <v>0</v>
      </c>
      <c r="O95" s="160">
        <f t="shared" si="53"/>
        <v>0</v>
      </c>
      <c r="P95" s="160">
        <f t="shared" si="54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6">L98+L102</f>
        <v>0</v>
      </c>
      <c r="M96" s="161">
        <f t="shared" ca="1" si="56"/>
        <v>0</v>
      </c>
      <c r="N96" s="161">
        <f t="shared" ca="1" si="56"/>
        <v>0</v>
      </c>
      <c r="O96" s="160">
        <f t="shared" ca="1" si="53"/>
        <v>0</v>
      </c>
      <c r="P96" s="160">
        <f t="shared" ca="1" si="54"/>
        <v>0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0</v>
      </c>
      <c r="M98" s="173">
        <f ca="1">IFERROR(__xludf.DUMMYFUNCTION("IMPORTRANGE(""https://docs.google.com/spreadsheets/d/1Yj_ptqi66GCucihVvJfMjLAmec39IyEx_6qawtMGysU/edit?usp=sharing"",""สบก!AR87"")"),0)</f>
        <v>0</v>
      </c>
      <c r="N98" s="174">
        <f ca="1">IFERROR(__xludf.DUMMYFUNCTION("IMPORTRANGE(""https://docs.google.com/spreadsheets/d/1Yj_ptqi66GCucihVvJfMjLAmec39IyEx_6qawtMGysU/edit?usp=sharing"",""สบก!AS87"")"),0)</f>
        <v>0</v>
      </c>
      <c r="O98" s="175">
        <f ca="1">IF(L98&gt;0,N98*100/L98,0)</f>
        <v>0</v>
      </c>
      <c r="P98" s="175">
        <f ca="1">IF(M98&gt;0,N98*100/M98,0)</f>
        <v>0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IFERROR(__xludf.DUMMYFUNCTION("IMPORTRANGE(""https://docs.google.com/spreadsheets/d/1Yj_ptqi66GCucihVvJfMjLAmec39IyEx_6qawtMGysU/edit?usp=sharing"",""สบก!AN87"")"),0)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IFERROR(__xludf.DUMMYFUNCTION("IMPORTRANGE(""https://docs.google.com/spreadsheets/d/1Yj_ptqi66GCucihVvJfMjLAmec39IyEx_6qawtMGysU/edit?usp=sharing"",""สบก!AO87"")"),0)</f>
        <v>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IFERROR(__xludf.DUMMYFUNCTION("IMPORTRANGE(""https://docs.google.com/spreadsheets/d/1Yj_ptqi66GCucihVvJfMjLAmec39IyEx_6qawtMGysU/edit?usp=sharing"",""สบก!AP87"")"),0)</f>
        <v>0</v>
      </c>
      <c r="M102" s="101"/>
      <c r="N102" s="91">
        <f ca="1">IFERROR(__xludf.DUMMYFUNCTION("IMPORTRANGE(""https://docs.google.com/spreadsheets/d/1Yj_ptqi66GCucihVvJfMjLAmec39IyEx_6qawtMGysU/edit?usp=sharing"",""สบก!AT87"")"),0)</f>
        <v>0</v>
      </c>
      <c r="O102" s="101">
        <f ca="1">IF(L102&gt;0,N102*100/L102,0)</f>
        <v>0</v>
      </c>
      <c r="P102" s="101"/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IFERROR(__xludf.DUMMYFUNCTION("IMPORTRANGE(""https://docs.google.com/spreadsheets/d/1IYY_tgx_IHuhSq3AJ5eI5OnqOPBNLWSHKh2a30DoXe8/edit?usp=sharing"",""พังงา!J39"")"),0)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IFERROR(__xludf.DUMMYFUNCTION("IMPORTRANGE(""https://docs.google.com/spreadsheets/d/1IYY_tgx_IHuhSq3AJ5eI5OnqOPBNLWSHKh2a30DoXe8/edit?usp=sharing"",""พังงา!J40"")"),0)</f>
        <v>0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IFERROR(__xludf.DUMMYFUNCTION("IMPORTRANGE(""https://docs.google.com/spreadsheets/d/1IYY_tgx_IHuhSq3AJ5eI5OnqOPBNLWSHKh2a30DoXe8/edit?usp=sharing"",""พังงา!J41"")"),0)</f>
        <v>0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IFERROR(__xludf.DUMMYFUNCTION("IMPORTRANGE(""https://docs.google.com/spreadsheets/d/1IYY_tgx_IHuhSq3AJ5eI5OnqOPBNLWSHKh2a30DoXe8/edit?usp=sharing"",""พังงา!J42"")"),0)</f>
        <v>0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IFERROR(__xludf.DUMMYFUNCTION("IMPORTRANGE(""https://docs.google.com/spreadsheets/d/1IYY_tgx_IHuhSq3AJ5eI5OnqOPBNLWSHKh2a30DoXe8/edit?usp=sharing"",""พังงา!I43"")"),0)</f>
        <v>0</v>
      </c>
      <c r="J108" s="210">
        <f ca="1">IFERROR(__xludf.DUMMYFUNCTION("IMPORTRANGE(""https://docs.google.com/spreadsheets/d/1IYY_tgx_IHuhSq3AJ5eI5OnqOPBNLWSHKh2a30DoXe8/edit?usp=sharing"",""พังงา!J43"")"),0)</f>
        <v>0</v>
      </c>
      <c r="K108" s="230">
        <f t="shared" ref="K108:K113" ca="1" si="57">IF(I108&gt;0,J108*100/I108,0)</f>
        <v>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IFERROR(__xludf.DUMMYFUNCTION("IMPORTRANGE(""https://docs.google.com/spreadsheets/d/1IYY_tgx_IHuhSq3AJ5eI5OnqOPBNLWSHKh2a30DoXe8/edit?usp=sharing"",""พังงา!I44"")"),0)</f>
        <v>0</v>
      </c>
      <c r="J109" s="210">
        <f ca="1">IFERROR(__xludf.DUMMYFUNCTION("IMPORTRANGE(""https://docs.google.com/spreadsheets/d/1IYY_tgx_IHuhSq3AJ5eI5OnqOPBNLWSHKh2a30DoXe8/edit?usp=sharing"",""พังงา!J44"")"),0)</f>
        <v>0</v>
      </c>
      <c r="K109" s="230">
        <f t="shared" ca="1" si="57"/>
        <v>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IFERROR(__xludf.DUMMYFUNCTION("IMPORTRANGE(""https://docs.google.com/spreadsheets/d/1IYY_tgx_IHuhSq3AJ5eI5OnqOPBNLWSHKh2a30DoXe8/edit?usp=sharing"",""พังงา!I45"")"),0)</f>
        <v>0</v>
      </c>
      <c r="J110" s="210">
        <f ca="1">IFERROR(__xludf.DUMMYFUNCTION("IMPORTRANGE(""https://docs.google.com/spreadsheets/d/1IYY_tgx_IHuhSq3AJ5eI5OnqOPBNLWSHKh2a30DoXe8/edit?usp=sharing"",""พังงา!J45"")"),0)</f>
        <v>0</v>
      </c>
      <c r="K110" s="230">
        <f t="shared" ca="1" si="57"/>
        <v>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IFERROR(__xludf.DUMMYFUNCTION("IMPORTRANGE(""https://docs.google.com/spreadsheets/d/1IYY_tgx_IHuhSq3AJ5eI5OnqOPBNLWSHKh2a30DoXe8/edit?usp=sharing"",""พังงา!I46"")"),0)</f>
        <v>0</v>
      </c>
      <c r="J111" s="210">
        <f ca="1">IFERROR(__xludf.DUMMYFUNCTION("IMPORTRANGE(""https://docs.google.com/spreadsheets/d/1IYY_tgx_IHuhSq3AJ5eI5OnqOPBNLWSHKh2a30DoXe8/edit?usp=sharing"",""พังงา!J46"")"),0)</f>
        <v>0</v>
      </c>
      <c r="K111" s="230">
        <f t="shared" ca="1" si="57"/>
        <v>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IFERROR(__xludf.DUMMYFUNCTION("IMPORTRANGE(""https://docs.google.com/spreadsheets/d/1IYY_tgx_IHuhSq3AJ5eI5OnqOPBNLWSHKh2a30DoXe8/edit?usp=sharing"",""พังงา!I47"")"),0)</f>
        <v>0</v>
      </c>
      <c r="J112" s="210">
        <f ca="1">IFERROR(__xludf.DUMMYFUNCTION("IMPORTRANGE(""https://docs.google.com/spreadsheets/d/1IYY_tgx_IHuhSq3AJ5eI5OnqOPBNLWSHKh2a30DoXe8/edit?usp=sharing"",""พังงา!J47"")"),0)</f>
        <v>0</v>
      </c>
      <c r="K112" s="230">
        <f t="shared" ca="1" si="57"/>
        <v>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IFERROR(__xludf.DUMMYFUNCTION("IMPORTRANGE(""https://docs.google.com/spreadsheets/d/1IYY_tgx_IHuhSq3AJ5eI5OnqOPBNLWSHKh2a30DoXe8/edit?usp=sharing"",""พังงา!I48"")"),0)</f>
        <v>0</v>
      </c>
      <c r="J113" s="210">
        <f ca="1">IFERROR(__xludf.DUMMYFUNCTION("IMPORTRANGE(""https://docs.google.com/spreadsheets/d/1IYY_tgx_IHuhSq3AJ5eI5OnqOPBNLWSHKh2a30DoXe8/edit?usp=sharing"",""พังงา!J48"")"),0)</f>
        <v>0</v>
      </c>
      <c r="K113" s="230">
        <f t="shared" ca="1" si="57"/>
        <v>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IFERROR(__xludf.DUMMYFUNCTION("IMPORTRANGE(""https://docs.google.com/spreadsheets/d/1IYY_tgx_IHuhSq3AJ5eI5OnqOPBNLWSHKh2a30DoXe8/edit?usp=sharing"",""พังงา!J49"")"),0)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IFERROR(__xludf.DUMMYFUNCTION("IMPORTRANGE(""https://docs.google.com/spreadsheets/d/1IYY_tgx_IHuhSq3AJ5eI5OnqOPBNLWSHKh2a30DoXe8/edit?usp=sharing"",""พังงา!J50"")"),0)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IFERROR(__xludf.DUMMYFUNCTION("IMPORTRANGE(""https://docs.google.com/spreadsheets/d/1IYY_tgx_IHuhSq3AJ5eI5OnqOPBNLWSHKh2a30DoXe8/edit?usp=sharing"",""พังงา!I52"")"),15)</f>
        <v>15</v>
      </c>
      <c r="J117" s="146">
        <f ca="1">IFERROR(__xludf.DUMMYFUNCTION("IMPORTRANGE(""https://docs.google.com/spreadsheets/d/1IYY_tgx_IHuhSq3AJ5eI5OnqOPBNLWSHKh2a30DoXe8/edit?usp=sharing"",""พังงา!J52"")"),15)</f>
        <v>15</v>
      </c>
      <c r="K117" s="147">
        <f ca="1">IF(I117&gt;0,J117*100/I117,0)</f>
        <v>100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8">L119+L120</f>
        <v>64890</v>
      </c>
      <c r="M118" s="156">
        <f t="shared" ca="1" si="58"/>
        <v>64890</v>
      </c>
      <c r="N118" s="156">
        <f t="shared" ca="1" si="58"/>
        <v>29820</v>
      </c>
      <c r="O118" s="155">
        <f t="shared" ref="O118:O120" ca="1" si="59">IF(L118&gt;0,N118*100/L118,0)</f>
        <v>45.954692556634306</v>
      </c>
      <c r="P118" s="155">
        <f t="shared" ref="P118:P120" ca="1" si="60">IF(M118&gt;0,N118*100/M118,0)</f>
        <v>45.954692556634306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1">L121+L125</f>
        <v>0</v>
      </c>
      <c r="M119" s="161">
        <f t="shared" si="61"/>
        <v>0</v>
      </c>
      <c r="N119" s="161">
        <f t="shared" si="61"/>
        <v>0</v>
      </c>
      <c r="O119" s="160">
        <f t="shared" si="59"/>
        <v>0</v>
      </c>
      <c r="P119" s="160">
        <f t="shared" si="60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2">L122+L126</f>
        <v>64890</v>
      </c>
      <c r="M120" s="161">
        <f t="shared" ca="1" si="62"/>
        <v>64890</v>
      </c>
      <c r="N120" s="161">
        <f t="shared" ca="1" si="62"/>
        <v>29820</v>
      </c>
      <c r="O120" s="160">
        <f t="shared" ca="1" si="59"/>
        <v>45.954692556634306</v>
      </c>
      <c r="P120" s="160">
        <f t="shared" ca="1" si="60"/>
        <v>45.954692556634306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64890</v>
      </c>
      <c r="M122" s="173">
        <f ca="1">IFERROR(__xludf.DUMMYFUNCTION("IMPORTRANGE(""https://docs.google.com/spreadsheets/d/1Yj_ptqi66GCucihVvJfMjLAmec39IyEx_6qawtMGysU/edit?usp=sharing"",""สบก!BA87"")"),64890)</f>
        <v>64890</v>
      </c>
      <c r="N122" s="174">
        <f ca="1">IFERROR(__xludf.DUMMYFUNCTION("IMPORTRANGE(""https://docs.google.com/spreadsheets/d/1Yj_ptqi66GCucihVvJfMjLAmec39IyEx_6qawtMGysU/edit?usp=sharing"",""สบก!BB87"")"),29820)</f>
        <v>29820</v>
      </c>
      <c r="O122" s="175">
        <f ca="1">IF(L122&gt;0,N122*100/L122,0)</f>
        <v>45.954692556634306</v>
      </c>
      <c r="P122" s="175">
        <f ca="1">IF(M122&gt;0,N122*100/M122,0)</f>
        <v>45.954692556634306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IFERROR(__xludf.DUMMYFUNCTION("IMPORTRANGE(""https://docs.google.com/spreadsheets/d/1Yj_ptqi66GCucihVvJfMjLAmec39IyEx_6qawtMGysU/edit?usp=sharing"",""สบก!AW87"")"),0)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IFERROR(__xludf.DUMMYFUNCTION("IMPORTRANGE(""https://docs.google.com/spreadsheets/d/1Yj_ptqi66GCucihVvJfMjLAmec39IyEx_6qawtMGysU/edit?usp=sharing"",""สบก!AX87"")"),64890)</f>
        <v>64890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IFERROR(__xludf.DUMMYFUNCTION("IMPORTRANGE(""https://docs.google.com/spreadsheets/d/1Yj_ptqi66GCucihVvJfMjLAmec39IyEx_6qawtMGysU/edit?usp=sharing"",""สบก!AY87"")"),0)</f>
        <v>0</v>
      </c>
      <c r="M126" s="101"/>
      <c r="N126" s="91">
        <f ca="1">IFERROR(__xludf.DUMMYFUNCTION("IMPORTRANGE(""https://docs.google.com/spreadsheets/d/1Yj_ptqi66GCucihVvJfMjLAmec39IyEx_6qawtMGysU/edit?usp=sharing"",""สบก!BC87"")"),0)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252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IFERROR(__xludf.DUMMYFUNCTION("IMPORTRANGE(""https://docs.google.com/spreadsheets/d/1IYY_tgx_IHuhSq3AJ5eI5OnqOPBNLWSHKh2a30DoXe8/edit?usp=sharing"",""พังงา!J58"")"),0)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IFERROR(__xludf.DUMMYFUNCTION("IMPORTRANGE(""https://docs.google.com/spreadsheets/d/1IYY_tgx_IHuhSq3AJ5eI5OnqOPBNLWSHKh2a30DoXe8/edit?usp=sharing"",""พังงา!J59"")"),1)</f>
        <v>1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IFERROR(__xludf.DUMMYFUNCTION("IMPORTRANGE(""https://docs.google.com/spreadsheets/d/1IYY_tgx_IHuhSq3AJ5eI5OnqOPBNLWSHKh2a30DoXe8/edit?usp=sharing"",""พังงา!J60"")"),1)</f>
        <v>1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IFERROR(__xludf.DUMMYFUNCTION("IMPORTRANGE(""https://docs.google.com/spreadsheets/d/1IYY_tgx_IHuhSq3AJ5eI5OnqOPBNLWSHKh2a30DoXe8/edit?usp=sharing"",""พังงา!J61"")"),1)</f>
        <v>1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IFERROR(__xludf.DUMMYFUNCTION("IMPORTRANGE(""https://docs.google.com/spreadsheets/d/1IYY_tgx_IHuhSq3AJ5eI5OnqOPBNLWSHKh2a30DoXe8/edit?usp=sharing"",""พังงา!I62"")"),15)</f>
        <v>15</v>
      </c>
      <c r="J132" s="210">
        <f ca="1">IFERROR(__xludf.DUMMYFUNCTION("IMPORTRANGE(""https://docs.google.com/spreadsheets/d/1IYY_tgx_IHuhSq3AJ5eI5OnqOPBNLWSHKh2a30DoXe8/edit?usp=sharing"",""พังงา!J62"")"),15)</f>
        <v>15</v>
      </c>
      <c r="K132" s="230">
        <f t="shared" ref="K132:K133" ca="1" si="63">IF(I132&gt;0,J132*100/I132,0)</f>
        <v>100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IFERROR(__xludf.DUMMYFUNCTION("IMPORTRANGE(""https://docs.google.com/spreadsheets/d/1IYY_tgx_IHuhSq3AJ5eI5OnqOPBNLWSHKh2a30DoXe8/edit?usp=sharing"",""พังงา!I63"")"),15)</f>
        <v>15</v>
      </c>
      <c r="J133" s="210">
        <f ca="1">IFERROR(__xludf.DUMMYFUNCTION("IMPORTRANGE(""https://docs.google.com/spreadsheets/d/1IYY_tgx_IHuhSq3AJ5eI5OnqOPBNLWSHKh2a30DoXe8/edit?usp=sharing"",""พังงา!J63"")"),15)</f>
        <v>15</v>
      </c>
      <c r="K133" s="230">
        <f t="shared" ca="1" si="63"/>
        <v>100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IFERROR(__xludf.DUMMYFUNCTION("IMPORTRANGE(""https://docs.google.com/spreadsheets/d/1IYY_tgx_IHuhSq3AJ5eI5OnqOPBNLWSHKh2a30DoXe8/edit?usp=sharing"",""พังงา!J64"")"),0)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IFERROR(__xludf.DUMMYFUNCTION("IMPORTRANGE(""https://docs.google.com/spreadsheets/d/1IYY_tgx_IHuhSq3AJ5eI5OnqOPBNLWSHKh2a30DoXe8/edit?usp=sharing"",""พังงา!J65"")"),0)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IFERROR(__xludf.DUMMYFUNCTION("IMPORTRANGE(""https://docs.google.com/spreadsheets/d/1IYY_tgx_IHuhSq3AJ5eI5OnqOPBNLWSHKh2a30DoXe8/edit?usp=sharing"",""พังงา!I68"")"),0)</f>
        <v>0</v>
      </c>
      <c r="J138" s="273">
        <f ca="1">IFERROR(__xludf.DUMMYFUNCTION("IMPORTRANGE(""https://docs.google.com/spreadsheets/d/1IYY_tgx_IHuhSq3AJ5eI5OnqOPBNLWSHKh2a30DoXe8/edit?usp=sharing"",""พังงา!J68"")"),0)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4">L141+L142</f>
        <v>72500</v>
      </c>
      <c r="M140" s="156">
        <f t="shared" ca="1" si="64"/>
        <v>67078</v>
      </c>
      <c r="N140" s="156">
        <f t="shared" ca="1" si="64"/>
        <v>46633</v>
      </c>
      <c r="O140" s="155">
        <f t="shared" ref="O140:O142" ca="1" si="65">IF(L140&gt;0,N140*100/L140,0)</f>
        <v>64.321379310344824</v>
      </c>
      <c r="P140" s="155">
        <f t="shared" ref="P140:P142" ca="1" si="66">IF(M140&gt;0,N140*100/M140,0)</f>
        <v>69.520558156176392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7">L143+L147</f>
        <v>0</v>
      </c>
      <c r="M141" s="161">
        <f t="shared" si="67"/>
        <v>0</v>
      </c>
      <c r="N141" s="161">
        <f t="shared" si="67"/>
        <v>0</v>
      </c>
      <c r="O141" s="160">
        <f t="shared" si="65"/>
        <v>0</v>
      </c>
      <c r="P141" s="160">
        <f t="shared" si="66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8">L144+L148</f>
        <v>72500</v>
      </c>
      <c r="M142" s="161">
        <f t="shared" ca="1" si="68"/>
        <v>67078</v>
      </c>
      <c r="N142" s="161">
        <f t="shared" ca="1" si="68"/>
        <v>46633</v>
      </c>
      <c r="O142" s="160">
        <f t="shared" ca="1" si="65"/>
        <v>64.321379310344824</v>
      </c>
      <c r="P142" s="160">
        <f t="shared" ca="1" si="66"/>
        <v>69.520558156176392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72500</v>
      </c>
      <c r="M144" s="173">
        <f ca="1">IFERROR(__xludf.DUMMYFUNCTION("IMPORTRANGE(""https://docs.google.com/spreadsheets/d/1Yj_ptqi66GCucihVvJfMjLAmec39IyEx_6qawtMGysU/edit?usp=sharing"",""สบก!BJ87"")"),67078)</f>
        <v>67078</v>
      </c>
      <c r="N144" s="174">
        <f ca="1">IFERROR(__xludf.DUMMYFUNCTION("IMPORTRANGE(""https://docs.google.com/spreadsheets/d/1Yj_ptqi66GCucihVvJfMjLAmec39IyEx_6qawtMGysU/edit?usp=sharing"",""สบก!BK87"")"),46633)</f>
        <v>46633</v>
      </c>
      <c r="O144" s="175">
        <f ca="1">IF(L144&gt;0,N144*100/L144,0)</f>
        <v>64.321379310344824</v>
      </c>
      <c r="P144" s="175">
        <f ca="1">IF(M144&gt;0,N144*100/M144,0)</f>
        <v>69.520558156176392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IFERROR(__xludf.DUMMYFUNCTION("IMPORTRANGE(""https://docs.google.com/spreadsheets/d/1Yj_ptqi66GCucihVvJfMjLAmec39IyEx_6qawtMGysU/edit?usp=sharing"",""สบก!BF87"")"),0)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IFERROR(__xludf.DUMMYFUNCTION("IMPORTRANGE(""https://docs.google.com/spreadsheets/d/1Yj_ptqi66GCucihVvJfMjLAmec39IyEx_6qawtMGysU/edit?usp=sharing"",""สบก!BG87"")"),72500)</f>
        <v>72500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IFERROR(__xludf.DUMMYFUNCTION("IMPORTRANGE(""https://docs.google.com/spreadsheets/d/1Yj_ptqi66GCucihVvJfMjLAmec39IyEx_6qawtMGysU/edit?usp=sharing"",""สบก!BH87"")"),0)</f>
        <v>0</v>
      </c>
      <c r="M148" s="101"/>
      <c r="N148" s="91">
        <f ca="1">IFERROR(__xludf.DUMMYFUNCTION("IMPORTRANGE(""https://docs.google.com/spreadsheets/d/1Yj_ptqi66GCucihVvJfMjLAmec39IyEx_6qawtMGysU/edit?usp=sharing"",""สบก!BL87"")"),0)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IFERROR(__xludf.DUMMYFUNCTION("IMPORTRANGE(""https://docs.google.com/spreadsheets/d/1IYY_tgx_IHuhSq3AJ5eI5OnqOPBNLWSHKh2a30DoXe8/edit?usp=sharing"",""พังงา!I74"")"),4)</f>
        <v>4</v>
      </c>
      <c r="J149" s="281">
        <f ca="1">IFERROR(__xludf.DUMMYFUNCTION("IMPORTRANGE(""https://docs.google.com/spreadsheets/d/1IYY_tgx_IHuhSq3AJ5eI5OnqOPBNLWSHKh2a30DoXe8/edit?usp=sharing"",""พังงา!J74"")"),2)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IFERROR(__xludf.DUMMYFUNCTION("IMPORTRANGE(""https://docs.google.com/spreadsheets/d/1IYY_tgx_IHuhSq3AJ5eI5OnqOPBNLWSHKh2a30DoXe8/edit?usp=sharing"",""พังงา!J79"")"),0)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IFERROR(__xludf.DUMMYFUNCTION("IMPORTRANGE(""https://docs.google.com/spreadsheets/d/1IYY_tgx_IHuhSq3AJ5eI5OnqOPBNLWSHKh2a30DoXe8/edit?usp=sharing"",""พังงา!J80"")"),1)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IFERROR(__xludf.DUMMYFUNCTION("IMPORTRANGE(""https://docs.google.com/spreadsheets/d/1IYY_tgx_IHuhSq3AJ5eI5OnqOPBNLWSHKh2a30DoXe8/edit?usp=sharing"",""พังงา!J81"")"),1)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IFERROR(__xludf.DUMMYFUNCTION("IMPORTRANGE(""https://docs.google.com/spreadsheets/d/1IYY_tgx_IHuhSq3AJ5eI5OnqOPBNLWSHKh2a30DoXe8/edit?usp=sharing"",""พังงา!J82"")"),1)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IFERROR(__xludf.DUMMYFUNCTION("IMPORTRANGE(""https://docs.google.com/spreadsheets/d/1IYY_tgx_IHuhSq3AJ5eI5OnqOPBNLWSHKh2a30DoXe8/edit?usp=sharing"",""พังงา!I83"")"),4)</f>
        <v>4</v>
      </c>
      <c r="J158" s="195">
        <f ca="1">IFERROR(__xludf.DUMMYFUNCTION("IMPORTRANGE(""https://docs.google.com/spreadsheets/d/1IYY_tgx_IHuhSq3AJ5eI5OnqOPBNLWSHKh2a30DoXe8/edit?usp=sharing"",""พังงา!J83"")"),2)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IFERROR(__xludf.DUMMYFUNCTION("IMPORTRANGE(""https://docs.google.com/spreadsheets/d/1IYY_tgx_IHuhSq3AJ5eI5OnqOPBNLWSHKh2a30DoXe8/edit?usp=sharing"",""พังงา!J84"")"),89)</f>
        <v>89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IFERROR(__xludf.DUMMYFUNCTION("IMPORTRANGE(""https://docs.google.com/spreadsheets/d/1IYY_tgx_IHuhSq3AJ5eI5OnqOPBNLWSHKh2a30DoXe8/edit?usp=sharing"",""พังงา!J85"")"),89)</f>
        <v>89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IFERROR(__xludf.DUMMYFUNCTION("IMPORTRANGE(""https://docs.google.com/spreadsheets/d/1IYY_tgx_IHuhSq3AJ5eI5OnqOPBNLWSHKh2a30DoXe8/edit?usp=sharing"",""พังงา!J86"")"),0)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IFERROR(__xludf.DUMMYFUNCTION("IMPORTRANGE(""https://docs.google.com/spreadsheets/d/1IYY_tgx_IHuhSq3AJ5eI5OnqOPBNLWSHKh2a30DoXe8/edit?usp=sharing"",""พังงา!J87"")"),0)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IFERROR(__xludf.DUMMYFUNCTION("IMPORTRANGE(""https://docs.google.com/spreadsheets/d/1IYY_tgx_IHuhSq3AJ5eI5OnqOPBNLWSHKh2a30DoXe8/edit?usp=sharing"",""พังงา!J88"")"),0)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IFERROR(__xludf.DUMMYFUNCTION("IMPORTRANGE(""https://docs.google.com/spreadsheets/d/1IYY_tgx_IHuhSq3AJ5eI5OnqOPBNLWSHKh2a30DoXe8/edit?usp=sharing"",""พังงา!I89"")"),4)</f>
        <v>4</v>
      </c>
      <c r="J164" s="290">
        <f ca="1">IFERROR(__xludf.DUMMYFUNCTION("IMPORTRANGE(""https://docs.google.com/spreadsheets/d/1IYY_tgx_IHuhSq3AJ5eI5OnqOPBNLWSHKh2a30DoXe8/edit?usp=sharing"",""พังงา!J89"")"),3)</f>
        <v>3</v>
      </c>
      <c r="K164" s="291">
        <f ca="1">IF(I164&gt;0,J164*100/I164,0)</f>
        <v>75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IFERROR(__xludf.DUMMYFUNCTION("IMPORTRANGE(""https://docs.google.com/spreadsheets/d/1IYY_tgx_IHuhSq3AJ5eI5OnqOPBNLWSHKh2a30DoXe8/edit?usp=sharing"",""พังงา!J94"")"),0)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IFERROR(__xludf.DUMMYFUNCTION("IMPORTRANGE(""https://docs.google.com/spreadsheets/d/1IYY_tgx_IHuhSq3AJ5eI5OnqOPBNLWSHKh2a30DoXe8/edit?usp=sharing"",""พังงา!J95"")"),1)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IFERROR(__xludf.DUMMYFUNCTION("IMPORTRANGE(""https://docs.google.com/spreadsheets/d/1IYY_tgx_IHuhSq3AJ5eI5OnqOPBNLWSHKh2a30DoXe8/edit?usp=sharing"",""พังงา!J96"")"),1)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IFERROR(__xludf.DUMMYFUNCTION("IMPORTRANGE(""https://docs.google.com/spreadsheets/d/1IYY_tgx_IHuhSq3AJ5eI5OnqOPBNLWSHKh2a30DoXe8/edit?usp=sharing"",""พังงา!J97"")"),1)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IFERROR(__xludf.DUMMYFUNCTION("IMPORTRANGE(""https://docs.google.com/spreadsheets/d/1IYY_tgx_IHuhSq3AJ5eI5OnqOPBNLWSHKh2a30DoXe8/edit?usp=sharing"",""พังงา!I98"")"),4)</f>
        <v>4</v>
      </c>
      <c r="J173" s="195">
        <f ca="1">IFERROR(__xludf.DUMMYFUNCTION("IMPORTRANGE(""https://docs.google.com/spreadsheets/d/1IYY_tgx_IHuhSq3AJ5eI5OnqOPBNLWSHKh2a30DoXe8/edit?usp=sharing"",""พังงา!J98"")"),3)</f>
        <v>3</v>
      </c>
      <c r="K173" s="167">
        <f ca="1">IF(I173&gt;0,J173*100/I173,0)</f>
        <v>75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IFERROR(__xludf.DUMMYFUNCTION("IMPORTRANGE(""https://docs.google.com/spreadsheets/d/1IYY_tgx_IHuhSq3AJ5eI5OnqOPBNLWSHKh2a30DoXe8/edit?usp=sharing"",""พังงา!J99"")"),0)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IFERROR(__xludf.DUMMYFUNCTION("IMPORTRANGE(""https://docs.google.com/spreadsheets/d/1IYY_tgx_IHuhSq3AJ5eI5OnqOPBNLWSHKh2a30DoXe8/edit?usp=sharing"",""พังงา!J100"")"),0)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IFERROR(__xludf.DUMMYFUNCTION("IMPORTRANGE(""https://docs.google.com/spreadsheets/d/1IYY_tgx_IHuhSq3AJ5eI5OnqOPBNLWSHKh2a30DoXe8/edit?usp=sharing"",""พังงา!I101"")"),0)</f>
        <v>0</v>
      </c>
      <c r="J176" s="290">
        <f ca="1">IFERROR(__xludf.DUMMYFUNCTION("IMPORTRANGE(""https://docs.google.com/spreadsheets/d/1IYY_tgx_IHuhSq3AJ5eI5OnqOPBNLWSHKh2a30DoXe8/edit?usp=sharing"",""พังงา!J101"")"),0)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IFERROR(__xludf.DUMMYFUNCTION("IMPORTRANGE(""https://docs.google.com/spreadsheets/d/1IYY_tgx_IHuhSq3AJ5eI5OnqOPBNLWSHKh2a30DoXe8/edit?usp=sharing"",""พังงา!J106"")"),0)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IFERROR(__xludf.DUMMYFUNCTION("IMPORTRANGE(""https://docs.google.com/spreadsheets/d/1IYY_tgx_IHuhSq3AJ5eI5OnqOPBNLWSHKh2a30DoXe8/edit?usp=sharing"",""พังงา!J107"")"),0)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IFERROR(__xludf.DUMMYFUNCTION("IMPORTRANGE(""https://docs.google.com/spreadsheets/d/1IYY_tgx_IHuhSq3AJ5eI5OnqOPBNLWSHKh2a30DoXe8/edit?usp=sharing"",""พังงา!J108"")"),0)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IFERROR(__xludf.DUMMYFUNCTION("IMPORTRANGE(""https://docs.google.com/spreadsheets/d/1IYY_tgx_IHuhSq3AJ5eI5OnqOPBNLWSHKh2a30DoXe8/edit?usp=sharing"",""พังงา!J109"")"),0)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IFERROR(__xludf.DUMMYFUNCTION("IMPORTRANGE(""https://docs.google.com/spreadsheets/d/1IYY_tgx_IHuhSq3AJ5eI5OnqOPBNLWSHKh2a30DoXe8/edit?usp=sharing"",""พังงา!I110"")"),0)</f>
        <v>0</v>
      </c>
      <c r="J185" s="210">
        <f ca="1">IFERROR(__xludf.DUMMYFUNCTION("IMPORTRANGE(""https://docs.google.com/spreadsheets/d/1IYY_tgx_IHuhSq3AJ5eI5OnqOPBNLWSHKh2a30DoXe8/edit?usp=sharing"",""พังงา!J110"")"),0)</f>
        <v>0</v>
      </c>
      <c r="K185" s="230">
        <f t="shared" ref="K185:K186" ca="1" si="69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IFERROR(__xludf.DUMMYFUNCTION("IMPORTRANGE(""https://docs.google.com/spreadsheets/d/1IYY_tgx_IHuhSq3AJ5eI5OnqOPBNLWSHKh2a30DoXe8/edit?usp=sharing"",""พังงา!I111"")"),0)</f>
        <v>0</v>
      </c>
      <c r="J186" s="210">
        <f ca="1">IFERROR(__xludf.DUMMYFUNCTION("IMPORTRANGE(""https://docs.google.com/spreadsheets/d/1IYY_tgx_IHuhSq3AJ5eI5OnqOPBNLWSHKh2a30DoXe8/edit?usp=sharing"",""พังงา!J111"")"),0)</f>
        <v>0</v>
      </c>
      <c r="K186" s="230">
        <f t="shared" ca="1" si="69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IFERROR(__xludf.DUMMYFUNCTION("IMPORTRANGE(""https://docs.google.com/spreadsheets/d/1IYY_tgx_IHuhSq3AJ5eI5OnqOPBNLWSHKh2a30DoXe8/edit?usp=sharing"",""พังงา!J112"")"),0)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IFERROR(__xludf.DUMMYFUNCTION("IMPORTRANGE(""https://docs.google.com/spreadsheets/d/1IYY_tgx_IHuhSq3AJ5eI5OnqOPBNLWSHKh2a30DoXe8/edit?usp=sharing"",""พังงา!J113"")"),0)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IFERROR(__xludf.DUMMYFUNCTION("IMPORTRANGE(""https://docs.google.com/spreadsheets/d/1IYY_tgx_IHuhSq3AJ5eI5OnqOPBNLWSHKh2a30DoXe8/edit?usp=sharing"",""พังงา!I114"")"),20000)</f>
        <v>20000</v>
      </c>
      <c r="J189" s="290">
        <f ca="1">IFERROR(__xludf.DUMMYFUNCTION("IMPORTRANGE(""https://docs.google.com/spreadsheets/d/1IYY_tgx_IHuhSq3AJ5eI5OnqOPBNLWSHKh2a30DoXe8/edit?usp=sharing"",""พังงา!J114"")"),0)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IFERROR(__xludf.DUMMYFUNCTION("IMPORTRANGE(""https://docs.google.com/spreadsheets/d/1IYY_tgx_IHuhSq3AJ5eI5OnqOPBNLWSHKh2a30DoXe8/edit?usp=sharing"",""พังงา!J119"")"),0)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IFERROR(__xludf.DUMMYFUNCTION("IMPORTRANGE(""https://docs.google.com/spreadsheets/d/1IYY_tgx_IHuhSq3AJ5eI5OnqOPBNLWSHKh2a30DoXe8/edit?usp=sharing"",""พังงา!J120"")"),1)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IFERROR(__xludf.DUMMYFUNCTION("IMPORTRANGE(""https://docs.google.com/spreadsheets/d/1IYY_tgx_IHuhSq3AJ5eI5OnqOPBNLWSHKh2a30DoXe8/edit?usp=sharing"",""พังงา!J121"")"),0)</f>
        <v>0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IFERROR(__xludf.DUMMYFUNCTION("IMPORTRANGE(""https://docs.google.com/spreadsheets/d/1IYY_tgx_IHuhSq3AJ5eI5OnqOPBNLWSHKh2a30DoXe8/edit?usp=sharing"",""พังงา!J122"")"),0)</f>
        <v>0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IFERROR(__xludf.DUMMYFUNCTION("IMPORTRANGE(""https://docs.google.com/spreadsheets/d/1IYY_tgx_IHuhSq3AJ5eI5OnqOPBNLWSHKh2a30DoXe8/edit?usp=sharing"",""พังงา!I124"")"),20000)</f>
        <v>20000</v>
      </c>
      <c r="J199" s="195">
        <f ca="1">IFERROR(__xludf.DUMMYFUNCTION("IMPORTRANGE(""https://docs.google.com/spreadsheets/d/1IYY_tgx_IHuhSq3AJ5eI5OnqOPBNLWSHKh2a30DoXe8/edit?usp=sharing"",""พังงา!J124"")"),0)</f>
        <v>0</v>
      </c>
      <c r="K199" s="167">
        <f t="shared" ref="K199:K201" ca="1" si="70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IFERROR(__xludf.DUMMYFUNCTION("IMPORTRANGE(""https://docs.google.com/spreadsheets/d/1IYY_tgx_IHuhSq3AJ5eI5OnqOPBNLWSHKh2a30DoXe8/edit?usp=sharing"",""พังงา!I125"")"),20000)</f>
        <v>20000</v>
      </c>
      <c r="J200" s="195">
        <f ca="1">IFERROR(__xludf.DUMMYFUNCTION("IMPORTRANGE(""https://docs.google.com/spreadsheets/d/1IYY_tgx_IHuhSq3AJ5eI5OnqOPBNLWSHKh2a30DoXe8/edit?usp=sharing"",""พังงา!J125"")"),0)</f>
        <v>0</v>
      </c>
      <c r="K200" s="167">
        <f t="shared" ca="1" si="70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IFERROR(__xludf.DUMMYFUNCTION("IMPORTRANGE(""https://docs.google.com/spreadsheets/d/1IYY_tgx_IHuhSq3AJ5eI5OnqOPBNLWSHKh2a30DoXe8/edit?usp=sharing"",""พังงา!I126"")"),0)</f>
        <v>0</v>
      </c>
      <c r="J201" s="195">
        <f ca="1">IFERROR(__xludf.DUMMYFUNCTION("IMPORTRANGE(""https://docs.google.com/spreadsheets/d/1IYY_tgx_IHuhSq3AJ5eI5OnqOPBNLWSHKh2a30DoXe8/edit?usp=sharing"",""พังงา!J126"")"),0)</f>
        <v>0</v>
      </c>
      <c r="K201" s="167">
        <f t="shared" ca="1" si="70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IFERROR(__xludf.DUMMYFUNCTION("IMPORTRANGE(""https://docs.google.com/spreadsheets/d/1IYY_tgx_IHuhSq3AJ5eI5OnqOPBNLWSHKh2a30DoXe8/edit?usp=sharing"",""พังงา!J127"")"),0)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IFERROR(__xludf.DUMMYFUNCTION("IMPORTRANGE(""https://docs.google.com/spreadsheets/d/1IYY_tgx_IHuhSq3AJ5eI5OnqOPBNLWSHKh2a30DoXe8/edit?usp=sharing"",""พังงา!J128"")"),0)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IFERROR(__xludf.DUMMYFUNCTION("IMPORTRANGE(""https://docs.google.com/spreadsheets/d/1IYY_tgx_IHuhSq3AJ5eI5OnqOPBNLWSHKh2a30DoXe8/edit?usp=sharing"",""พังงา!I129"")"),0)</f>
        <v>0</v>
      </c>
      <c r="J204" s="290">
        <f ca="1">IFERROR(__xludf.DUMMYFUNCTION("IMPORTRANGE(""https://docs.google.com/spreadsheets/d/1IYY_tgx_IHuhSq3AJ5eI5OnqOPBNLWSHKh2a30DoXe8/edit?usp=sharing"",""พังงา!J129"")"),0)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IFERROR(__xludf.DUMMYFUNCTION("IMPORTRANGE(""https://docs.google.com/spreadsheets/d/1IYY_tgx_IHuhSq3AJ5eI5OnqOPBNLWSHKh2a30DoXe8/edit?usp=sharing"",""พังงา!J134"")"),0)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IFERROR(__xludf.DUMMYFUNCTION("IMPORTRANGE(""https://docs.google.com/spreadsheets/d/1IYY_tgx_IHuhSq3AJ5eI5OnqOPBNLWSHKh2a30DoXe8/edit?usp=sharing"",""พังงา!J135"")"),0)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IFERROR(__xludf.DUMMYFUNCTION("IMPORTRANGE(""https://docs.google.com/spreadsheets/d/1IYY_tgx_IHuhSq3AJ5eI5OnqOPBNLWSHKh2a30DoXe8/edit?usp=sharing"",""พังงา!J136"")"),0)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IFERROR(__xludf.DUMMYFUNCTION("IMPORTRANGE(""https://docs.google.com/spreadsheets/d/1IYY_tgx_IHuhSq3AJ5eI5OnqOPBNLWSHKh2a30DoXe8/edit?usp=sharing"",""พังงา!J137"")"),0)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IFERROR(__xludf.DUMMYFUNCTION("IMPORTRANGE(""https://docs.google.com/spreadsheets/d/1IYY_tgx_IHuhSq3AJ5eI5OnqOPBNLWSHKh2a30DoXe8/edit?usp=sharing"",""พังงา!I138"")"),0)</f>
        <v>0</v>
      </c>
      <c r="J213" s="210">
        <f ca="1">IFERROR(__xludf.DUMMYFUNCTION("IMPORTRANGE(""https://docs.google.com/spreadsheets/d/1IYY_tgx_IHuhSq3AJ5eI5OnqOPBNLWSHKh2a30DoXe8/edit?usp=sharing"",""พังงา!J138"")"),0)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IFERROR(__xludf.DUMMYFUNCTION("IMPORTRANGE(""https://docs.google.com/spreadsheets/d/1IYY_tgx_IHuhSq3AJ5eI5OnqOPBNLWSHKh2a30DoXe8/edit?usp=sharing"",""พังงา!I140"")"),0)</f>
        <v>0</v>
      </c>
      <c r="J215" s="210">
        <f ca="1">IFERROR(__xludf.DUMMYFUNCTION("IMPORTRANGE(""https://docs.google.com/spreadsheets/d/1IYY_tgx_IHuhSq3AJ5eI5OnqOPBNLWSHKh2a30DoXe8/edit?usp=sharing"",""พังงา!J140"")"),0)</f>
        <v>0</v>
      </c>
      <c r="K215" s="230">
        <f t="shared" ref="K215:K216" ca="1" si="71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IFERROR(__xludf.DUMMYFUNCTION("IMPORTRANGE(""https://docs.google.com/spreadsheets/d/1IYY_tgx_IHuhSq3AJ5eI5OnqOPBNLWSHKh2a30DoXe8/edit?usp=sharing"",""พังงา!I141"")"),0)</f>
        <v>0</v>
      </c>
      <c r="J216" s="210">
        <f ca="1">IFERROR(__xludf.DUMMYFUNCTION("IMPORTRANGE(""https://docs.google.com/spreadsheets/d/1IYY_tgx_IHuhSq3AJ5eI5OnqOPBNLWSHKh2a30DoXe8/edit?usp=sharing"",""พังงา!J141"")"),0)</f>
        <v>0</v>
      </c>
      <c r="K216" s="230">
        <f t="shared" ca="1" si="71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IFERROR(__xludf.DUMMYFUNCTION("IMPORTRANGE(""https://docs.google.com/spreadsheets/d/1IYY_tgx_IHuhSq3AJ5eI5OnqOPBNLWSHKh2a30DoXe8/edit?usp=sharing"",""พังงา!J142"")"),0)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IFERROR(__xludf.DUMMYFUNCTION("IMPORTRANGE(""https://docs.google.com/spreadsheets/d/1IYY_tgx_IHuhSq3AJ5eI5OnqOPBNLWSHKh2a30DoXe8/edit?usp=sharing"",""พังงา!J143"")"),0)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IFERROR(__xludf.DUMMYFUNCTION("IMPORTRANGE(""https://docs.google.com/spreadsheets/d/1IYY_tgx_IHuhSq3AJ5eI5OnqOPBNLWSHKh2a30DoXe8/edit?usp=sharing"",""พังงา!I144"")"),15)</f>
        <v>15</v>
      </c>
      <c r="J219" s="273">
        <f ca="1">IFERROR(__xludf.DUMMYFUNCTION("IMPORTRANGE(""https://docs.google.com/spreadsheets/d/1IYY_tgx_IHuhSq3AJ5eI5OnqOPBNLWSHKh2a30DoXe8/edit?usp=sharing"",""พังงา!J144"")"),15)</f>
        <v>15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2">L221+L222</f>
        <v>21125</v>
      </c>
      <c r="M220" s="156">
        <f t="shared" ca="1" si="72"/>
        <v>21125</v>
      </c>
      <c r="N220" s="156">
        <f t="shared" ca="1" si="72"/>
        <v>21125</v>
      </c>
      <c r="O220" s="155">
        <f t="shared" ref="O220:O222" ca="1" si="73">IF(L220&gt;0,N220*100/L220,0)</f>
        <v>100</v>
      </c>
      <c r="P220" s="155">
        <f t="shared" ref="P220:P222" ca="1" si="74">IF(M220&gt;0,N220*100/M220,0)</f>
        <v>100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5">L223+L227</f>
        <v>0</v>
      </c>
      <c r="M221" s="161">
        <f t="shared" si="75"/>
        <v>0</v>
      </c>
      <c r="N221" s="161">
        <f t="shared" si="75"/>
        <v>0</v>
      </c>
      <c r="O221" s="160">
        <f t="shared" si="73"/>
        <v>0</v>
      </c>
      <c r="P221" s="160">
        <f t="shared" si="74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6">L224+L228</f>
        <v>21125</v>
      </c>
      <c r="M222" s="161">
        <f t="shared" ca="1" si="76"/>
        <v>21125</v>
      </c>
      <c r="N222" s="161">
        <f t="shared" ca="1" si="76"/>
        <v>21125</v>
      </c>
      <c r="O222" s="160">
        <f t="shared" ca="1" si="73"/>
        <v>100</v>
      </c>
      <c r="P222" s="160">
        <f t="shared" ca="1" si="74"/>
        <v>100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21125</v>
      </c>
      <c r="M224" s="173">
        <f ca="1">IFERROR(__xludf.DUMMYFUNCTION("IMPORTRANGE(""https://docs.google.com/spreadsheets/d/1Yj_ptqi66GCucihVvJfMjLAmec39IyEx_6qawtMGysU/edit?usp=sharing"",""สบก!BS87"")"),21125)</f>
        <v>21125</v>
      </c>
      <c r="N224" s="174">
        <f ca="1">IFERROR(__xludf.DUMMYFUNCTION("IMPORTRANGE(""https://docs.google.com/spreadsheets/d/1Yj_ptqi66GCucihVvJfMjLAmec39IyEx_6qawtMGysU/edit?usp=sharing"",""สบก!BT87"")"),21125)</f>
        <v>21125</v>
      </c>
      <c r="O224" s="175">
        <f ca="1">IF(L224&gt;0,N224*100/L224,0)</f>
        <v>100</v>
      </c>
      <c r="P224" s="175">
        <f ca="1">IF(M224&gt;0,N224*100/M224,0)</f>
        <v>100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IFERROR(__xludf.DUMMYFUNCTION("IMPORTRANGE(""https://docs.google.com/spreadsheets/d/1Yj_ptqi66GCucihVvJfMjLAmec39IyEx_6qawtMGysU/edit?usp=sharing"",""สบก!BO87"")"),0)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IFERROR(__xludf.DUMMYFUNCTION("IMPORTRANGE(""https://docs.google.com/spreadsheets/d/1Yj_ptqi66GCucihVvJfMjLAmec39IyEx_6qawtMGysU/edit?usp=sharing"",""สบก!BP87"")"),21125)</f>
        <v>21125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IFERROR(__xludf.DUMMYFUNCTION("IMPORTRANGE(""https://docs.google.com/spreadsheets/d/1Yj_ptqi66GCucihVvJfMjLAmec39IyEx_6qawtMGysU/edit?usp=sharing"",""สบก!BQ87"")"),0)</f>
        <v>0</v>
      </c>
      <c r="M228" s="101"/>
      <c r="N228" s="91">
        <f ca="1">IFERROR(__xludf.DUMMYFUNCTION("IMPORTRANGE(""https://docs.google.com/spreadsheets/d/1Yj_ptqi66GCucihVvJfMjLAmec39IyEx_6qawtMGysU/edit?usp=sharing"",""สบก!BU87"")"),0)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IFERROR(__xludf.DUMMYFUNCTION("IMPORTRANGE(""https://docs.google.com/spreadsheets/d/1IYY_tgx_IHuhSq3AJ5eI5OnqOPBNLWSHKh2a30DoXe8/edit?usp=sharing"",""พังงา!I149"")"),15)</f>
        <v>15</v>
      </c>
      <c r="J229" s="273">
        <f ca="1">IFERROR(__xludf.DUMMYFUNCTION("IMPORTRANGE(""https://docs.google.com/spreadsheets/d/1IYY_tgx_IHuhSq3AJ5eI5OnqOPBNLWSHKh2a30DoXe8/edit?usp=sharing"",""พังงา!J149"")"),15)</f>
        <v>15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IFERROR(__xludf.DUMMYFUNCTION("IMPORTRANGE(""https://docs.google.com/spreadsheets/d/1IYY_tgx_IHuhSq3AJ5eI5OnqOPBNLWSHKh2a30DoXe8/edit?usp=sharing"",""พังงา!J151"")"),0)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IFERROR(__xludf.DUMMYFUNCTION("IMPORTRANGE(""https://docs.google.com/spreadsheets/d/1IYY_tgx_IHuhSq3AJ5eI5OnqOPBNLWSHKh2a30DoXe8/edit?usp=sharing"",""พังงา!J152"")"),1)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IFERROR(__xludf.DUMMYFUNCTION("IMPORTRANGE(""https://docs.google.com/spreadsheets/d/1IYY_tgx_IHuhSq3AJ5eI5OnqOPBNLWSHKh2a30DoXe8/edit?usp=sharing"",""พังงา!J153"")"),1)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IFERROR(__xludf.DUMMYFUNCTION("IMPORTRANGE(""https://docs.google.com/spreadsheets/d/1IYY_tgx_IHuhSq3AJ5eI5OnqOPBNLWSHKh2a30DoXe8/edit?usp=sharing"",""พังงา!J154"")"),1)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IFERROR(__xludf.DUMMYFUNCTION("IMPORTRANGE(""https://docs.google.com/spreadsheets/d/1IYY_tgx_IHuhSq3AJ5eI5OnqOPBNLWSHKh2a30DoXe8/edit?usp=sharing"",""พังงา!I155"")"),15)</f>
        <v>15</v>
      </c>
      <c r="J235" s="195">
        <f ca="1">IFERROR(__xludf.DUMMYFUNCTION("IMPORTRANGE(""https://docs.google.com/spreadsheets/d/1IYY_tgx_IHuhSq3AJ5eI5OnqOPBNLWSHKh2a30DoXe8/edit?usp=sharing"",""พังงา!J155"")"),15)</f>
        <v>15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IFERROR(__xludf.DUMMYFUNCTION("IMPORTRANGE(""https://docs.google.com/spreadsheets/d/1IYY_tgx_IHuhSq3AJ5eI5OnqOPBNLWSHKh2a30DoXe8/edit?usp=sharing"",""พังงา!J156"")"),0)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IFERROR(__xludf.DUMMYFUNCTION("IMPORTRANGE(""https://docs.google.com/spreadsheets/d/1IYY_tgx_IHuhSq3AJ5eI5OnqOPBNLWSHKh2a30DoXe8/edit?usp=sharing"",""พังงา!J157"")"),0)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IFERROR(__xludf.DUMMYFUNCTION("IMPORTRANGE(""https://docs.google.com/spreadsheets/d/1IYY_tgx_IHuhSq3AJ5eI5OnqOPBNLWSHKh2a30DoXe8/edit?usp=sharing"",""พังงา!I158"")"),0)</f>
        <v>0</v>
      </c>
      <c r="J238" s="273">
        <f ca="1">IFERROR(__xludf.DUMMYFUNCTION("IMPORTRANGE(""https://docs.google.com/spreadsheets/d/1IYY_tgx_IHuhSq3AJ5eI5OnqOPBNLWSHKh2a30DoXe8/edit?usp=sharing"",""พังงา!J158"")"),0)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IFERROR(__xludf.DUMMYFUNCTION("IMPORTRANGE(""https://docs.google.com/spreadsheets/d/1IYY_tgx_IHuhSq3AJ5eI5OnqOPBNLWSHKh2a30DoXe8/edit?usp=sharing"",""พังงา!J159"")"),"")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IFERROR(__xludf.DUMMYFUNCTION("IMPORTRANGE(""https://docs.google.com/spreadsheets/d/1IYY_tgx_IHuhSq3AJ5eI5OnqOPBNLWSHKh2a30DoXe8/edit?usp=sharing"",""พังงา!J161"")"),0)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IFERROR(__xludf.DUMMYFUNCTION("IMPORTRANGE(""https://docs.google.com/spreadsheets/d/1IYY_tgx_IHuhSq3AJ5eI5OnqOPBNLWSHKh2a30DoXe8/edit?usp=sharing"",""พังงา!J162"")"),0)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IFERROR(__xludf.DUMMYFUNCTION("IMPORTRANGE(""https://docs.google.com/spreadsheets/d/1IYY_tgx_IHuhSq3AJ5eI5OnqOPBNLWSHKh2a30DoXe8/edit?usp=sharing"",""พังงา!J163"")"),0)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IFERROR(__xludf.DUMMYFUNCTION("IMPORTRANGE(""https://docs.google.com/spreadsheets/d/1IYY_tgx_IHuhSq3AJ5eI5OnqOPBNLWSHKh2a30DoXe8/edit?usp=sharing"",""พังงา!I164"")"),0)</f>
        <v>0</v>
      </c>
      <c r="J244" s="194">
        <f ca="1">IFERROR(__xludf.DUMMYFUNCTION("IMPORTRANGE(""https://docs.google.com/spreadsheets/d/1IYY_tgx_IHuhSq3AJ5eI5OnqOPBNLWSHKh2a30DoXe8/edit?usp=sharing"",""พังงา!J164"")"),0)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IFERROR(__xludf.DUMMYFUNCTION("IMPORTRANGE(""https://docs.google.com/spreadsheets/d/1IYY_tgx_IHuhSq3AJ5eI5OnqOPBNLWSHKh2a30DoXe8/edit?usp=sharing"",""พังงา!J165"")"),0)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IFERROR(__xludf.DUMMYFUNCTION("IMPORTRANGE(""https://docs.google.com/spreadsheets/d/1IYY_tgx_IHuhSq3AJ5eI5OnqOPBNLWSHKh2a30DoXe8/edit?usp=sharing"",""พังงา!J166"")"),0)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IFERROR(__xludf.DUMMYFUNCTION("IMPORTRANGE(""https://docs.google.com/spreadsheets/d/1IYY_tgx_IHuhSq3AJ5eI5OnqOPBNLWSHKh2a30DoXe8/edit?usp=sharing"",""พังงา!I169"")"),0)</f>
        <v>0</v>
      </c>
      <c r="J249" s="322">
        <f ca="1">IFERROR(__xludf.DUMMYFUNCTION("IMPORTRANGE(""https://docs.google.com/spreadsheets/d/1IYY_tgx_IHuhSq3AJ5eI5OnqOPBNLWSHKh2a30DoXe8/edit?usp=sharing"",""พังงา!J169"")"),0)</f>
        <v>0</v>
      </c>
      <c r="K249" s="323">
        <f ca="1">IF(I249&gt;0,J249*100/I249,0)</f>
        <v>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7">L251+L252</f>
        <v>0</v>
      </c>
      <c r="M250" s="156">
        <f t="shared" ca="1" si="77"/>
        <v>0</v>
      </c>
      <c r="N250" s="156">
        <f t="shared" ca="1" si="77"/>
        <v>0</v>
      </c>
      <c r="O250" s="155">
        <f t="shared" ref="O250:O252" ca="1" si="78">IF(L250&gt;0,N250*100/L250,0)</f>
        <v>0</v>
      </c>
      <c r="P250" s="155">
        <f t="shared" ref="P250:P252" ca="1" si="79">IF(M250&gt;0,N250*100/M250,0)</f>
        <v>0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80">L253+L257</f>
        <v>0</v>
      </c>
      <c r="M251" s="161">
        <f t="shared" si="80"/>
        <v>0</v>
      </c>
      <c r="N251" s="161">
        <f t="shared" si="80"/>
        <v>0</v>
      </c>
      <c r="O251" s="160">
        <f t="shared" si="78"/>
        <v>0</v>
      </c>
      <c r="P251" s="160">
        <f t="shared" si="79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1">L254+L258</f>
        <v>0</v>
      </c>
      <c r="M252" s="161">
        <f t="shared" ca="1" si="81"/>
        <v>0</v>
      </c>
      <c r="N252" s="161">
        <f t="shared" ca="1" si="81"/>
        <v>0</v>
      </c>
      <c r="O252" s="160">
        <f t="shared" ca="1" si="78"/>
        <v>0</v>
      </c>
      <c r="P252" s="160">
        <f t="shared" ca="1" si="79"/>
        <v>0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0</v>
      </c>
      <c r="M254" s="173">
        <f ca="1">IFERROR(__xludf.DUMMYFUNCTION("IMPORTRANGE(""https://docs.google.com/spreadsheets/d/1Yj_ptqi66GCucihVvJfMjLAmec39IyEx_6qawtMGysU/edit?usp=sharing"",""สบก!CB87"")"),0)</f>
        <v>0</v>
      </c>
      <c r="N254" s="174">
        <f ca="1">IFERROR(__xludf.DUMMYFUNCTION("IMPORTRANGE(""https://docs.google.com/spreadsheets/d/1Yj_ptqi66GCucihVvJfMjLAmec39IyEx_6qawtMGysU/edit?usp=sharing"",""สบก!CC87"")"),0)</f>
        <v>0</v>
      </c>
      <c r="O254" s="175">
        <f ca="1">IF(L254&gt;0,N254*100/L254,0)</f>
        <v>0</v>
      </c>
      <c r="P254" s="175">
        <f ca="1">IF(M254&gt;0,N254*100/M254,0)</f>
        <v>0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IFERROR(__xludf.DUMMYFUNCTION("IMPORTRANGE(""https://docs.google.com/spreadsheets/d/1Yj_ptqi66GCucihVvJfMjLAmec39IyEx_6qawtMGysU/edit?usp=sharing"",""สบก!BX87"")"),0)</f>
        <v>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IFERROR(__xludf.DUMMYFUNCTION("IMPORTRANGE(""https://docs.google.com/spreadsheets/d/1Yj_ptqi66GCucihVvJfMjLAmec39IyEx_6qawtMGysU/edit?usp=sharing"",""สบก!BY87"")"),0)</f>
        <v>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IFERROR(__xludf.DUMMYFUNCTION("IMPORTRANGE(""https://docs.google.com/spreadsheets/d/1Yj_ptqi66GCucihVvJfMjLAmec39IyEx_6qawtMGysU/edit?usp=sharing"",""สบก!BZ87"")"),0)</f>
        <v>0</v>
      </c>
      <c r="M258" s="101"/>
      <c r="N258" s="91">
        <f ca="1">IFERROR(__xludf.DUMMYFUNCTION("IMPORTRANGE(""https://docs.google.com/spreadsheets/d/1Yj_ptqi66GCucihVvJfMjLAmec39IyEx_6qawtMGysU/edit?usp=sharing"",""สบก!CD87"")"),0)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IFERROR(__xludf.DUMMYFUNCTION("IMPORTRANGE(""https://docs.google.com/spreadsheets/d/1IYY_tgx_IHuhSq3AJ5eI5OnqOPBNLWSHKh2a30DoXe8/edit?usp=sharing"",""พังงา!J175"")"),0)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IFERROR(__xludf.DUMMYFUNCTION("IMPORTRANGE(""https://docs.google.com/spreadsheets/d/1IYY_tgx_IHuhSq3AJ5eI5OnqOPBNLWSHKh2a30DoXe8/edit?usp=sharing"",""พังงา!J176"")"),0)</f>
        <v>0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IFERROR(__xludf.DUMMYFUNCTION("IMPORTRANGE(""https://docs.google.com/spreadsheets/d/1IYY_tgx_IHuhSq3AJ5eI5OnqOPBNLWSHKh2a30DoXe8/edit?usp=sharing"",""พังงา!J177"")"),0)</f>
        <v>0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IFERROR(__xludf.DUMMYFUNCTION("IMPORTRANGE(""https://docs.google.com/spreadsheets/d/1IYY_tgx_IHuhSq3AJ5eI5OnqOPBNLWSHKh2a30DoXe8/edit?usp=sharing"",""พังงา!J178"")"),0)</f>
        <v>0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IFERROR(__xludf.DUMMYFUNCTION("IMPORTRANGE(""https://docs.google.com/spreadsheets/d/1IYY_tgx_IHuhSq3AJ5eI5OnqOPBNLWSHKh2a30DoXe8/edit?usp=sharing"",""พังงา!I179"")"),0)</f>
        <v>0</v>
      </c>
      <c r="J264" s="195">
        <f ca="1">IFERROR(__xludf.DUMMYFUNCTION("IMPORTRANGE(""https://docs.google.com/spreadsheets/d/1IYY_tgx_IHuhSq3AJ5eI5OnqOPBNLWSHKh2a30DoXe8/edit?usp=sharing"",""พังงา!J179"")"),0)</f>
        <v>0</v>
      </c>
      <c r="K264" s="167">
        <f t="shared" ref="K264:K267" ca="1" si="82">IF(I264&gt;0,J264*100/I264,0)</f>
        <v>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IFERROR(__xludf.DUMMYFUNCTION("IMPORTRANGE(""https://docs.google.com/spreadsheets/d/1IYY_tgx_IHuhSq3AJ5eI5OnqOPBNLWSHKh2a30DoXe8/edit?usp=sharing"",""พังงา!I180"")"),0)</f>
        <v>0</v>
      </c>
      <c r="J265" s="195">
        <f ca="1">IFERROR(__xludf.DUMMYFUNCTION("IMPORTRANGE(""https://docs.google.com/spreadsheets/d/1IYY_tgx_IHuhSq3AJ5eI5OnqOPBNLWSHKh2a30DoXe8/edit?usp=sharing"",""พังงา!J180"")"),0)</f>
        <v>0</v>
      </c>
      <c r="K265" s="167">
        <f t="shared" ca="1" si="82"/>
        <v>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IFERROR(__xludf.DUMMYFUNCTION("IMPORTRANGE(""https://docs.google.com/spreadsheets/d/1IYY_tgx_IHuhSq3AJ5eI5OnqOPBNLWSHKh2a30DoXe8/edit?usp=sharing"",""พังงา!I181"")"),0)</f>
        <v>0</v>
      </c>
      <c r="J266" s="195">
        <f ca="1">IFERROR(__xludf.DUMMYFUNCTION("IMPORTRANGE(""https://docs.google.com/spreadsheets/d/1IYY_tgx_IHuhSq3AJ5eI5OnqOPBNLWSHKh2a30DoXe8/edit?usp=sharing"",""พังงา!J181"")"),0)</f>
        <v>0</v>
      </c>
      <c r="K266" s="167">
        <f t="shared" ca="1" si="82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IFERROR(__xludf.DUMMYFUNCTION("IMPORTRANGE(""https://docs.google.com/spreadsheets/d/1IYY_tgx_IHuhSq3AJ5eI5OnqOPBNLWSHKh2a30DoXe8/edit?usp=sharing"",""พังงา!I182"")"),0)</f>
        <v>0</v>
      </c>
      <c r="J267" s="195">
        <f ca="1">IFERROR(__xludf.DUMMYFUNCTION("IMPORTRANGE(""https://docs.google.com/spreadsheets/d/1IYY_tgx_IHuhSq3AJ5eI5OnqOPBNLWSHKh2a30DoXe8/edit?usp=sharing"",""พังงา!J182"")"),0)</f>
        <v>0</v>
      </c>
      <c r="K267" s="167">
        <f t="shared" ca="1" si="82"/>
        <v>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IFERROR(__xludf.DUMMYFUNCTION("IMPORTRANGE(""https://docs.google.com/spreadsheets/d/1IYY_tgx_IHuhSq3AJ5eI5OnqOPBNLWSHKh2a30DoXe8/edit?usp=sharing"",""พังงา!J183"")"),0)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IFERROR(__xludf.DUMMYFUNCTION("IMPORTRANGE(""https://docs.google.com/spreadsheets/d/1IYY_tgx_IHuhSq3AJ5eI5OnqOPBNLWSHKh2a30DoXe8/edit?usp=sharing"",""พังงา!J184"")"),0)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IFERROR(__xludf.DUMMYFUNCTION("IMPORTRANGE(""https://docs.google.com/spreadsheets/d/1IYY_tgx_IHuhSq3AJ5eI5OnqOPBNLWSHKh2a30DoXe8/edit?usp=sharing"",""พังงา!I185"")"),15)</f>
        <v>15</v>
      </c>
      <c r="J270" s="322">
        <f ca="1">IFERROR(__xludf.DUMMYFUNCTION("IMPORTRANGE(""https://docs.google.com/spreadsheets/d/1IYY_tgx_IHuhSq3AJ5eI5OnqOPBNLWSHKh2a30DoXe8/edit?usp=sharing"",""พังงา!J185"")"),15)</f>
        <v>15</v>
      </c>
      <c r="K270" s="323">
        <f ca="1">IF(I270&gt;0,J270*100/I270,0)</f>
        <v>100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3">L272+L273</f>
        <v>187200</v>
      </c>
      <c r="M271" s="156">
        <f t="shared" ca="1" si="83"/>
        <v>131250</v>
      </c>
      <c r="N271" s="156">
        <f t="shared" ca="1" si="83"/>
        <v>19018</v>
      </c>
      <c r="O271" s="155">
        <f t="shared" ref="O271:O273" ca="1" si="84">IF(L271&gt;0,N271*100/L271,0)</f>
        <v>10.159188034188034</v>
      </c>
      <c r="P271" s="155">
        <f t="shared" ref="P271:P273" ca="1" si="85">IF(M271&gt;0,N271*100/M271,0)</f>
        <v>14.489904761904763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6">L274+L278</f>
        <v>0</v>
      </c>
      <c r="M272" s="161">
        <f t="shared" si="86"/>
        <v>0</v>
      </c>
      <c r="N272" s="161">
        <f t="shared" si="86"/>
        <v>0</v>
      </c>
      <c r="O272" s="160">
        <f t="shared" si="84"/>
        <v>0</v>
      </c>
      <c r="P272" s="160">
        <f t="shared" si="85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7">L275+L279</f>
        <v>187200</v>
      </c>
      <c r="M273" s="161">
        <f t="shared" ca="1" si="87"/>
        <v>131250</v>
      </c>
      <c r="N273" s="161">
        <f t="shared" ca="1" si="87"/>
        <v>19018</v>
      </c>
      <c r="O273" s="160">
        <f t="shared" ca="1" si="84"/>
        <v>10.159188034188034</v>
      </c>
      <c r="P273" s="160">
        <f t="shared" ca="1" si="85"/>
        <v>14.489904761904763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187200</v>
      </c>
      <c r="M275" s="173">
        <f ca="1">IFERROR(__xludf.DUMMYFUNCTION("IMPORTRANGE(""https://docs.google.com/spreadsheets/d/1Yj_ptqi66GCucihVvJfMjLAmec39IyEx_6qawtMGysU/edit?usp=sharing"",""สบก!CK87"")"),131250)</f>
        <v>131250</v>
      </c>
      <c r="N275" s="174">
        <f ca="1">IFERROR(__xludf.DUMMYFUNCTION("IMPORTRANGE(""https://docs.google.com/spreadsheets/d/1Yj_ptqi66GCucihVvJfMjLAmec39IyEx_6qawtMGysU/edit?usp=sharing"",""สบก!CL87"")"),19018)</f>
        <v>19018</v>
      </c>
      <c r="O275" s="175">
        <f ca="1">IF(L275&gt;0,N275*100/L275,0)</f>
        <v>10.159188034188034</v>
      </c>
      <c r="P275" s="175">
        <f ca="1">IF(M275&gt;0,N275*100/M275,0)</f>
        <v>14.489904761904763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IFERROR(__xludf.DUMMYFUNCTION("IMPORTRANGE(""https://docs.google.com/spreadsheets/d/1Yj_ptqi66GCucihVvJfMjLAmec39IyEx_6qawtMGysU/edit?usp=sharing"",""สบก!CG87"")"),132000)</f>
        <v>132000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IFERROR(__xludf.DUMMYFUNCTION("IMPORTRANGE(""https://docs.google.com/spreadsheets/d/1Yj_ptqi66GCucihVvJfMjLAmec39IyEx_6qawtMGysU/edit?usp=sharing"",""สบก!CH87"")"),55200)</f>
        <v>55200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IFERROR(__xludf.DUMMYFUNCTION("IMPORTRANGE(""https://docs.google.com/spreadsheets/d/1Yj_ptqi66GCucihVvJfMjLAmec39IyEx_6qawtMGysU/edit?usp=sharing"",""สบก!CI87"")"),0)</f>
        <v>0</v>
      </c>
      <c r="M279" s="101"/>
      <c r="N279" s="91">
        <f ca="1">IFERROR(__xludf.DUMMYFUNCTION("IMPORTRANGE(""https://docs.google.com/spreadsheets/d/1Yj_ptqi66GCucihVvJfMjLAmec39IyEx_6qawtMGysU/edit?usp=sharing"",""สบก!CM87"")"),0)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IFERROR(__xludf.DUMMYFUNCTION("IMPORTRANGE(""https://docs.google.com/spreadsheets/d/1IYY_tgx_IHuhSq3AJ5eI5OnqOPBNLWSHKh2a30DoXe8/edit?usp=sharing"",""พังงา!J191"")"),0)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IFERROR(__xludf.DUMMYFUNCTION("IMPORTRANGE(""https://docs.google.com/spreadsheets/d/1IYY_tgx_IHuhSq3AJ5eI5OnqOPBNLWSHKh2a30DoXe8/edit?usp=sharing"",""พังงา!J192"")"),1)</f>
        <v>1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IFERROR(__xludf.DUMMYFUNCTION("IMPORTRANGE(""https://docs.google.com/spreadsheets/d/1IYY_tgx_IHuhSq3AJ5eI5OnqOPBNLWSHKh2a30DoXe8/edit?usp=sharing"",""พังงา!J193"")"),1)</f>
        <v>1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IFERROR(__xludf.DUMMYFUNCTION("IMPORTRANGE(""https://docs.google.com/spreadsheets/d/1IYY_tgx_IHuhSq3AJ5eI5OnqOPBNLWSHKh2a30DoXe8/edit?usp=sharing"",""พังงา!J194"")"),1)</f>
        <v>1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IFERROR(__xludf.DUMMYFUNCTION("IMPORTRANGE(""https://docs.google.com/spreadsheets/d/1IYY_tgx_IHuhSq3AJ5eI5OnqOPBNLWSHKh2a30DoXe8/edit?usp=sharing"",""พังงา!I195"")"),15)</f>
        <v>15</v>
      </c>
      <c r="J285" s="195">
        <f ca="1">IFERROR(__xludf.DUMMYFUNCTION("IMPORTRANGE(""https://docs.google.com/spreadsheets/d/1IYY_tgx_IHuhSq3AJ5eI5OnqOPBNLWSHKh2a30DoXe8/edit?usp=sharing"",""พังงา!J195"")"),15)</f>
        <v>15</v>
      </c>
      <c r="K285" s="167">
        <f ca="1">IF(I285&gt;0,J285*100/I285,0)</f>
        <v>100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IFERROR(__xludf.DUMMYFUNCTION("IMPORTRANGE(""https://docs.google.com/spreadsheets/d/1IYY_tgx_IHuhSq3AJ5eI5OnqOPBNLWSHKh2a30DoXe8/edit?usp=sharing"",""พังงา!J196"")"),0)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IFERROR(__xludf.DUMMYFUNCTION("IMPORTRANGE(""https://docs.google.com/spreadsheets/d/1IYY_tgx_IHuhSq3AJ5eI5OnqOPBNLWSHKh2a30DoXe8/edit?usp=sharing"",""พังงา!J197"")"),0)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IFERROR(__xludf.DUMMYFUNCTION("IMPORTRANGE(""https://docs.google.com/spreadsheets/d/1IYY_tgx_IHuhSq3AJ5eI5OnqOPBNLWSHKh2a30DoXe8/edit?usp=sharing"",""พังงา!I199"")"),0)</f>
        <v>0</v>
      </c>
      <c r="J289" s="322">
        <f ca="1">IFERROR(__xludf.DUMMYFUNCTION("IMPORTRANGE(""https://docs.google.com/spreadsheets/d/1IYY_tgx_IHuhSq3AJ5eI5OnqOPBNLWSHKh2a30DoXe8/edit?usp=sharing"",""พังงา!J199"")"),0)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8">L291+L292</f>
        <v>0</v>
      </c>
      <c r="M290" s="156">
        <f t="shared" ca="1" si="88"/>
        <v>0</v>
      </c>
      <c r="N290" s="156">
        <f t="shared" ca="1" si="88"/>
        <v>0</v>
      </c>
      <c r="O290" s="155">
        <f t="shared" ref="O290:O292" ca="1" si="89">IF(L290&gt;0,N290*100/L290,0)</f>
        <v>0</v>
      </c>
      <c r="P290" s="155">
        <f t="shared" ref="P290:P292" ca="1" si="90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1">L293+L297</f>
        <v>0</v>
      </c>
      <c r="M291" s="161">
        <f t="shared" si="91"/>
        <v>0</v>
      </c>
      <c r="N291" s="161">
        <f t="shared" si="91"/>
        <v>0</v>
      </c>
      <c r="O291" s="160">
        <f t="shared" si="89"/>
        <v>0</v>
      </c>
      <c r="P291" s="160">
        <f t="shared" si="90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2">L294+L298</f>
        <v>0</v>
      </c>
      <c r="M292" s="161">
        <f t="shared" ca="1" si="92"/>
        <v>0</v>
      </c>
      <c r="N292" s="161">
        <f t="shared" ca="1" si="92"/>
        <v>0</v>
      </c>
      <c r="O292" s="160">
        <f t="shared" ca="1" si="89"/>
        <v>0</v>
      </c>
      <c r="P292" s="160">
        <f t="shared" ca="1" si="90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IFERROR(__xludf.DUMMYFUNCTION("IMPORTRANGE(""https://docs.google.com/spreadsheets/d/1Yj_ptqi66GCucihVvJfMjLAmec39IyEx_6qawtMGysU/edit?usp=sharing"",""สบก!CT87"")"),0)</f>
        <v>0</v>
      </c>
      <c r="N294" s="174">
        <f ca="1">IFERROR(__xludf.DUMMYFUNCTION("IMPORTRANGE(""https://docs.google.com/spreadsheets/d/1Yj_ptqi66GCucihVvJfMjLAmec39IyEx_6qawtMGysU/edit?usp=sharing"",""สบก!CU87"")"),0)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IFERROR(__xludf.DUMMYFUNCTION("IMPORTRANGE(""https://docs.google.com/spreadsheets/d/1Yj_ptqi66GCucihVvJfMjLAmec39IyEx_6qawtMGysU/edit?usp=sharing"",""สบก!CP87"")"),0)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IFERROR(__xludf.DUMMYFUNCTION("IMPORTRANGE(""https://docs.google.com/spreadsheets/d/1Yj_ptqi66GCucihVvJfMjLAmec39IyEx_6qawtMGysU/edit?usp=sharing"",""สบก!CQ87"")"),0)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IFERROR(__xludf.DUMMYFUNCTION("IMPORTRANGE(""https://docs.google.com/spreadsheets/d/1Yj_ptqi66GCucihVvJfMjLAmec39IyEx_6qawtMGysU/edit?usp=sharing"",""สบก!CR87"")"),0)</f>
        <v>0</v>
      </c>
      <c r="M298" s="101"/>
      <c r="N298" s="91">
        <f ca="1">IFERROR(__xludf.DUMMYFUNCTION("IMPORTRANGE(""https://docs.google.com/spreadsheets/d/1Yj_ptqi66GCucihVvJfMjLAmec39IyEx_6qawtMGysU/edit?usp=sharing"",""สบก!CV87"")"),0)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IFERROR(__xludf.DUMMYFUNCTION("IMPORTRANGE(""https://docs.google.com/spreadsheets/d/1IYY_tgx_IHuhSq3AJ5eI5OnqOPBNLWSHKh2a30DoXe8/edit?usp=sharing"",""พังงา!J205"")"),0)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IFERROR(__xludf.DUMMYFUNCTION("IMPORTRANGE(""https://docs.google.com/spreadsheets/d/1IYY_tgx_IHuhSq3AJ5eI5OnqOPBNLWSHKh2a30DoXe8/edit?usp=sharing"",""พังงา!J206"")"),0)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IFERROR(__xludf.DUMMYFUNCTION("IMPORTRANGE(""https://docs.google.com/spreadsheets/d/1IYY_tgx_IHuhSq3AJ5eI5OnqOPBNLWSHKh2a30DoXe8/edit?usp=sharing"",""พังงา!J207"")"),0)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IFERROR(__xludf.DUMMYFUNCTION("IMPORTRANGE(""https://docs.google.com/spreadsheets/d/1IYY_tgx_IHuhSq3AJ5eI5OnqOPBNLWSHKh2a30DoXe8/edit?usp=sharing"",""พังงา!J208"")"),0)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IFERROR(__xludf.DUMMYFUNCTION("IMPORTRANGE(""https://docs.google.com/spreadsheets/d/1IYY_tgx_IHuhSq3AJ5eI5OnqOPBNLWSHKh2a30DoXe8/edit?usp=sharing"",""พังงา!I209"")"),0)</f>
        <v>0</v>
      </c>
      <c r="J304" s="210">
        <f ca="1">IFERROR(__xludf.DUMMYFUNCTION("IMPORTRANGE(""https://docs.google.com/spreadsheets/d/1IYY_tgx_IHuhSq3AJ5eI5OnqOPBNLWSHKh2a30DoXe8/edit?usp=sharing"",""พังงา!J209"")"),0)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IFERROR(__xludf.DUMMYFUNCTION("IMPORTRANGE(""https://docs.google.com/spreadsheets/d/1IYY_tgx_IHuhSq3AJ5eI5OnqOPBNLWSHKh2a30DoXe8/edit?usp=sharing"",""พังงา!I211"")"),0)</f>
        <v>0</v>
      </c>
      <c r="J306" s="210">
        <f ca="1">IFERROR(__xludf.DUMMYFUNCTION("IMPORTRANGE(""https://docs.google.com/spreadsheets/d/1IYY_tgx_IHuhSq3AJ5eI5OnqOPBNLWSHKh2a30DoXe8/edit?usp=sharing"",""พังงา!J211"")"),0)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IFERROR(__xludf.DUMMYFUNCTION("IMPORTRANGE(""https://docs.google.com/spreadsheets/d/1IYY_tgx_IHuhSq3AJ5eI5OnqOPBNLWSHKh2a30DoXe8/edit?usp=sharing"",""พังงา!J212"")"),0)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IFERROR(__xludf.DUMMYFUNCTION("IMPORTRANGE(""https://docs.google.com/spreadsheets/d/1IYY_tgx_IHuhSq3AJ5eI5OnqOPBNLWSHKh2a30DoXe8/edit?usp=sharing"",""พังงา!J213"")"),0)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IFERROR(__xludf.DUMMYFUNCTION("IMPORTRANGE(""https://docs.google.com/spreadsheets/d/1IYY_tgx_IHuhSq3AJ5eI5OnqOPBNLWSHKh2a30DoXe8/edit?usp=sharing"",""พังงา!I214"")"),0)</f>
        <v>0</v>
      </c>
      <c r="J309" s="339">
        <f ca="1">IFERROR(__xludf.DUMMYFUNCTION("IMPORTRANGE(""https://docs.google.com/spreadsheets/d/1IYY_tgx_IHuhSq3AJ5eI5OnqOPBNLWSHKh2a30DoXe8/edit?usp=sharing"",""พังงา!J214"")"),0)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3">L311+L312</f>
        <v>0</v>
      </c>
      <c r="M310" s="156">
        <f t="shared" ca="1" si="93"/>
        <v>0</v>
      </c>
      <c r="N310" s="156">
        <f t="shared" ca="1" si="93"/>
        <v>0</v>
      </c>
      <c r="O310" s="155">
        <f t="shared" ref="O310:O312" ca="1" si="94">IF(L310&gt;0,N310*100/L310,0)</f>
        <v>0</v>
      </c>
      <c r="P310" s="155">
        <f t="shared" ref="P310:P312" ca="1" si="95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6">L313+L317</f>
        <v>0</v>
      </c>
      <c r="M311" s="161">
        <f t="shared" si="96"/>
        <v>0</v>
      </c>
      <c r="N311" s="161">
        <f t="shared" si="96"/>
        <v>0</v>
      </c>
      <c r="O311" s="160">
        <f t="shared" si="94"/>
        <v>0</v>
      </c>
      <c r="P311" s="160">
        <f t="shared" si="95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7">L314+L318</f>
        <v>0</v>
      </c>
      <c r="M312" s="161">
        <f t="shared" ca="1" si="97"/>
        <v>0</v>
      </c>
      <c r="N312" s="161">
        <f t="shared" ca="1" si="97"/>
        <v>0</v>
      </c>
      <c r="O312" s="160">
        <f t="shared" ca="1" si="94"/>
        <v>0</v>
      </c>
      <c r="P312" s="160">
        <f t="shared" ca="1" si="95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IFERROR(__xludf.DUMMYFUNCTION("IMPORTRANGE(""https://docs.google.com/spreadsheets/d/1Yj_ptqi66GCucihVvJfMjLAmec39IyEx_6qawtMGysU/edit?usp=sharing"",""สบก!DC87"")"),0)</f>
        <v>0</v>
      </c>
      <c r="N314" s="174">
        <f ca="1">IFERROR(__xludf.DUMMYFUNCTION("IMPORTRANGE(""https://docs.google.com/spreadsheets/d/1Yj_ptqi66GCucihVvJfMjLAmec39IyEx_6qawtMGysU/edit?usp=sharing"",""สบก!DD87"")"),0)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IFERROR(__xludf.DUMMYFUNCTION("IMPORTRANGE(""https://docs.google.com/spreadsheets/d/1Yj_ptqi66GCucihVvJfMjLAmec39IyEx_6qawtMGysU/edit?usp=sharing"",""สบก!CY87"")"),0)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IFERROR(__xludf.DUMMYFUNCTION("IMPORTRANGE(""https://docs.google.com/spreadsheets/d/1Yj_ptqi66GCucihVvJfMjLAmec39IyEx_6qawtMGysU/edit?usp=sharing"",""สบก!CZ87"")"),0)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IFERROR(__xludf.DUMMYFUNCTION("IMPORTRANGE(""https://docs.google.com/spreadsheets/d/1Yj_ptqi66GCucihVvJfMjLAmec39IyEx_6qawtMGysU/edit?usp=sharing"",""สบก!DA87"")"),0)</f>
        <v>0</v>
      </c>
      <c r="M318" s="101"/>
      <c r="N318" s="91">
        <f ca="1">IFERROR(__xludf.DUMMYFUNCTION("IMPORTRANGE(""https://docs.google.com/spreadsheets/d/1Yj_ptqi66GCucihVvJfMjLAmec39IyEx_6qawtMGysU/edit?usp=sharing"",""สบก!DE87"")"),0)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IFERROR(__xludf.DUMMYFUNCTION("IMPORTRANGE(""https://docs.google.com/spreadsheets/d/1IYY_tgx_IHuhSq3AJ5eI5OnqOPBNLWSHKh2a30DoXe8/edit?usp=sharing"",""พังงา!J220"")"),0)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IFERROR(__xludf.DUMMYFUNCTION("IMPORTRANGE(""https://docs.google.com/spreadsheets/d/1IYY_tgx_IHuhSq3AJ5eI5OnqOPBNLWSHKh2a30DoXe8/edit?usp=sharing"",""พังงา!J221"")"),0)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IFERROR(__xludf.DUMMYFUNCTION("IMPORTRANGE(""https://docs.google.com/spreadsheets/d/1IYY_tgx_IHuhSq3AJ5eI5OnqOPBNLWSHKh2a30DoXe8/edit?usp=sharing"",""พังงา!J222"")"),0)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IFERROR(__xludf.DUMMYFUNCTION("IMPORTRANGE(""https://docs.google.com/spreadsheets/d/1IYY_tgx_IHuhSq3AJ5eI5OnqOPBNLWSHKh2a30DoXe8/edit?usp=sharing"",""พังงา!J223"")"),0)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IFERROR(__xludf.DUMMYFUNCTION("IMPORTRANGE(""https://docs.google.com/spreadsheets/d/1IYY_tgx_IHuhSq3AJ5eI5OnqOPBNLWSHKh2a30DoXe8/edit?usp=sharing"",""พังงา!I224"")"),0)</f>
        <v>0</v>
      </c>
      <c r="J324" s="210">
        <f ca="1">IFERROR(__xludf.DUMMYFUNCTION("IMPORTRANGE(""https://docs.google.com/spreadsheets/d/1IYY_tgx_IHuhSq3AJ5eI5OnqOPBNLWSHKh2a30DoXe8/edit?usp=sharing"",""พังงา!J224"")"),0)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IFERROR(__xludf.DUMMYFUNCTION("IMPORTRANGE(""https://docs.google.com/spreadsheets/d/1IYY_tgx_IHuhSq3AJ5eI5OnqOPBNLWSHKh2a30DoXe8/edit?usp=sharing"",""พังงา!J225"")"),0)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IFERROR(__xludf.DUMMYFUNCTION("IMPORTRANGE(""https://docs.google.com/spreadsheets/d/1IYY_tgx_IHuhSq3AJ5eI5OnqOPBNLWSHKh2a30DoXe8/edit?usp=sharing"",""พังงา!J226"")"),0)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IFERROR(__xludf.DUMMYFUNCTION("IMPORTRANGE(""https://docs.google.com/spreadsheets/d/1IYY_tgx_IHuhSq3AJ5eI5OnqOPBNLWSHKh2a30DoXe8/edit?usp=sharing"",""พังงา!I228"")"),110)</f>
        <v>110</v>
      </c>
      <c r="J328" s="345">
        <f ca="1">IFERROR(__xludf.DUMMYFUNCTION("IMPORTRANGE(""https://docs.google.com/spreadsheets/d/1IYY_tgx_IHuhSq3AJ5eI5OnqOPBNLWSHKh2a30DoXe8/edit?usp=sharing"",""พังงา!J228"")"),20)</f>
        <v>20</v>
      </c>
      <c r="K328" s="323">
        <f ca="1">IF(I328&gt;0,J328*100/I328,0)</f>
        <v>18.181818181818183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8">L330+L331</f>
        <v>917210</v>
      </c>
      <c r="M329" s="156">
        <f t="shared" ca="1" si="98"/>
        <v>719630</v>
      </c>
      <c r="N329" s="156">
        <f t="shared" ca="1" si="98"/>
        <v>407364.03</v>
      </c>
      <c r="O329" s="155">
        <f t="shared" ref="O329:O331" ca="1" si="99">IF(L329&gt;0,N329*100/L329,0)</f>
        <v>44.413387337687119</v>
      </c>
      <c r="P329" s="155">
        <f t="shared" ref="P329:P331" ca="1" si="100">IF(M329&gt;0,N329*100/M329,0)</f>
        <v>56.607427427983822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1">L332+L336</f>
        <v>0</v>
      </c>
      <c r="M330" s="161">
        <f t="shared" si="101"/>
        <v>0</v>
      </c>
      <c r="N330" s="161">
        <f t="shared" si="101"/>
        <v>0</v>
      </c>
      <c r="O330" s="160">
        <f t="shared" si="99"/>
        <v>0</v>
      </c>
      <c r="P330" s="160">
        <f t="shared" si="100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2">L333+L337</f>
        <v>917210</v>
      </c>
      <c r="M331" s="161">
        <f t="shared" ca="1" si="102"/>
        <v>719630</v>
      </c>
      <c r="N331" s="161">
        <f t="shared" ca="1" si="102"/>
        <v>407364.03</v>
      </c>
      <c r="O331" s="160">
        <f t="shared" ca="1" si="99"/>
        <v>44.413387337687119</v>
      </c>
      <c r="P331" s="160">
        <f t="shared" ca="1" si="100"/>
        <v>56.607427427983822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743010</v>
      </c>
      <c r="M333" s="173">
        <f ca="1">IFERROR(__xludf.DUMMYFUNCTION("IMPORTRANGE(""https://docs.google.com/spreadsheets/d/1Yj_ptqi66GCucihVvJfMjLAmec39IyEx_6qawtMGysU/edit?usp=sharing"",""สบก!DL87"")"),545430)</f>
        <v>545430</v>
      </c>
      <c r="N333" s="174">
        <f ca="1">IFERROR(__xludf.DUMMYFUNCTION("IMPORTRANGE(""https://docs.google.com/spreadsheets/d/1Yj_ptqi66GCucihVvJfMjLAmec39IyEx_6qawtMGysU/edit?usp=sharing"",""สบก!DM87"")"),233164.03)</f>
        <v>233164.03</v>
      </c>
      <c r="O333" s="175">
        <f ca="1">IF(L333&gt;0,N333*100/L333,0)</f>
        <v>31.381008330978048</v>
      </c>
      <c r="P333" s="175">
        <f ca="1">IF(M333&gt;0,N333*100/M333,0)</f>
        <v>42.748662523146876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IFERROR(__xludf.DUMMYFUNCTION("IMPORTRANGE(""https://docs.google.com/spreadsheets/d/1Yj_ptqi66GCucihVvJfMjLAmec39IyEx_6qawtMGysU/edit?usp=sharing"",""สบก!DH87"")"),492000)</f>
        <v>492000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IFERROR(__xludf.DUMMYFUNCTION("IMPORTRANGE(""https://docs.google.com/spreadsheets/d/1Yj_ptqi66GCucihVvJfMjLAmec39IyEx_6qawtMGysU/edit?usp=sharing"",""สบก!DI87"")"),251010)</f>
        <v>251010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IFERROR(__xludf.DUMMYFUNCTION("IMPORTRANGE(""https://docs.google.com/spreadsheets/d/1Yj_ptqi66GCucihVvJfMjLAmec39IyEx_6qawtMGysU/edit?usp=sharing"",""สบก!DJ87"")"),174200)</f>
        <v>174200</v>
      </c>
      <c r="M337" s="101">
        <f ca="1">L337</f>
        <v>174200</v>
      </c>
      <c r="N337" s="91">
        <f ca="1">IFERROR(__xludf.DUMMYFUNCTION("IMPORTRANGE(""https://docs.google.com/spreadsheets/d/1Yj_ptqi66GCucihVvJfMjLAmec39IyEx_6qawtMGysU/edit?usp=sharing"",""สบก!DN87"")"),174200)</f>
        <v>174200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IFERROR(__xludf.DUMMYFUNCTION("IMPORTRANGE(""https://docs.google.com/spreadsheets/d/1IYY_tgx_IHuhSq3AJ5eI5OnqOPBNLWSHKh2a30DoXe8/edit?usp=sharing"",""พังงา!I234"")"),0)</f>
        <v>0</v>
      </c>
      <c r="J339" s="194">
        <f ca="1">IFERROR(__xludf.DUMMYFUNCTION("IMPORTRANGE(""https://docs.google.com/spreadsheets/d/1IYY_tgx_IHuhSq3AJ5eI5OnqOPBNLWSHKh2a30DoXe8/edit?usp=sharing"",""พังงา!J234"")"),68)</f>
        <v>68</v>
      </c>
      <c r="K339" s="348">
        <f t="shared" ref="K339:K346" ca="1" si="103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IFERROR(__xludf.DUMMYFUNCTION("IMPORTRANGE(""https://docs.google.com/spreadsheets/d/1IYY_tgx_IHuhSq3AJ5eI5OnqOPBNLWSHKh2a30DoXe8/edit?usp=sharing"",""พังงา!I235"")"),665)</f>
        <v>665</v>
      </c>
      <c r="J340" s="194">
        <f ca="1">IFERROR(__xludf.DUMMYFUNCTION("IMPORTRANGE(""https://docs.google.com/spreadsheets/d/1IYY_tgx_IHuhSq3AJ5eI5OnqOPBNLWSHKh2a30DoXe8/edit?usp=sharing"",""พังงา!J235"")"),513.87)</f>
        <v>513.87</v>
      </c>
      <c r="K340" s="348">
        <f t="shared" ca="1" si="103"/>
        <v>77.273684210526312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IFERROR(__xludf.DUMMYFUNCTION("IMPORTRANGE(""https://docs.google.com/spreadsheets/d/1IYY_tgx_IHuhSq3AJ5eI5OnqOPBNLWSHKh2a30DoXe8/edit?usp=sharing"",""พังงา!I236"")"),110)</f>
        <v>110</v>
      </c>
      <c r="J341" s="194">
        <f ca="1">IFERROR(__xludf.DUMMYFUNCTION("IMPORTRANGE(""https://docs.google.com/spreadsheets/d/1IYY_tgx_IHuhSq3AJ5eI5OnqOPBNLWSHKh2a30DoXe8/edit?usp=sharing"",""พังงา!J236"")"),79)</f>
        <v>79</v>
      </c>
      <c r="K341" s="348">
        <f t="shared" ca="1" si="103"/>
        <v>71.818181818181813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IFERROR(__xludf.DUMMYFUNCTION("IMPORTRANGE(""https://docs.google.com/spreadsheets/d/1IYY_tgx_IHuhSq3AJ5eI5OnqOPBNLWSHKh2a30DoXe8/edit?usp=sharing"",""พังงา!I237"")"),0)</f>
        <v>0</v>
      </c>
      <c r="J342" s="194">
        <f ca="1">IFERROR(__xludf.DUMMYFUNCTION("IMPORTRANGE(""https://docs.google.com/spreadsheets/d/1IYY_tgx_IHuhSq3AJ5eI5OnqOPBNLWSHKh2a30DoXe8/edit?usp=sharing"",""พังงา!J237"")"),642.61)</f>
        <v>642.61</v>
      </c>
      <c r="K342" s="348">
        <f t="shared" ca="1" si="103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IFERROR(__xludf.DUMMYFUNCTION("IMPORTRANGE(""https://docs.google.com/spreadsheets/d/1IYY_tgx_IHuhSq3AJ5eI5OnqOPBNLWSHKh2a30DoXe8/edit?usp=sharing"",""พังงา!I238"")"),110)</f>
        <v>110</v>
      </c>
      <c r="J343" s="194">
        <f ca="1">IFERROR(__xludf.DUMMYFUNCTION("IMPORTRANGE(""https://docs.google.com/spreadsheets/d/1IYY_tgx_IHuhSq3AJ5eI5OnqOPBNLWSHKh2a30DoXe8/edit?usp=sharing"",""พังงา!J238"")"),1)</f>
        <v>1</v>
      </c>
      <c r="K343" s="348">
        <f t="shared" ca="1" si="103"/>
        <v>0.90909090909090906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IFERROR(__xludf.DUMMYFUNCTION("IMPORTRANGE(""https://docs.google.com/spreadsheets/d/1IYY_tgx_IHuhSq3AJ5eI5OnqOPBNLWSHKh2a30DoXe8/edit?usp=sharing"",""พังงา!I239"")"),0)</f>
        <v>0</v>
      </c>
      <c r="J344" s="194">
        <f ca="1">IFERROR(__xludf.DUMMYFUNCTION("IMPORTRANGE(""https://docs.google.com/spreadsheets/d/1IYY_tgx_IHuhSq3AJ5eI5OnqOPBNLWSHKh2a30DoXe8/edit?usp=sharing"",""พังงา!J239"")"),4.52)</f>
        <v>4.5199999999999996</v>
      </c>
      <c r="K344" s="348">
        <f t="shared" ca="1" si="103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IFERROR(__xludf.DUMMYFUNCTION("IMPORTRANGE(""https://docs.google.com/spreadsheets/d/1IYY_tgx_IHuhSq3AJ5eI5OnqOPBNLWSHKh2a30DoXe8/edit?usp=sharing"",""พังงา!I240"")"),110)</f>
        <v>110</v>
      </c>
      <c r="J345" s="194">
        <f ca="1">IFERROR(__xludf.DUMMYFUNCTION("IMPORTRANGE(""https://docs.google.com/spreadsheets/d/1IYY_tgx_IHuhSq3AJ5eI5OnqOPBNLWSHKh2a30DoXe8/edit?usp=sharing"",""พังงา!J240"")"),20)</f>
        <v>20</v>
      </c>
      <c r="K345" s="348">
        <f t="shared" ca="1" si="103"/>
        <v>18.181818181818183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IFERROR(__xludf.DUMMYFUNCTION("IMPORTRANGE(""https://docs.google.com/spreadsheets/d/1IYY_tgx_IHuhSq3AJ5eI5OnqOPBNLWSHKh2a30DoXe8/edit?usp=sharing"",""พังงา!I241"")"),0)</f>
        <v>0</v>
      </c>
      <c r="J346" s="194">
        <f ca="1">IFERROR(__xludf.DUMMYFUNCTION("IMPORTRANGE(""https://docs.google.com/spreadsheets/d/1IYY_tgx_IHuhSq3AJ5eI5OnqOPBNLWSHKh2a30DoXe8/edit?usp=sharing"",""พังงา!J241"")"),135.65)</f>
        <v>135.65</v>
      </c>
      <c r="K346" s="357">
        <f t="shared" ca="1" si="103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IFERROR(__xludf.DUMMYFUNCTION("IMPORTRANGE(""https://docs.google.com/spreadsheets/d/1IYY_tgx_IHuhSq3AJ5eI5OnqOPBNLWSHKh2a30DoXe8/edit?usp=sharing"",""พังงา!L242"")"),1069372.02)</f>
        <v>1069372.02</v>
      </c>
      <c r="M347" s="364"/>
      <c r="N347" s="364">
        <f ca="1">IFERROR(__xludf.DUMMYFUNCTION("IMPORTRANGE(""https://docs.google.com/spreadsheets/d/1IYY_tgx_IHuhSq3AJ5eI5OnqOPBNLWSHKh2a30DoXe8/edit?usp=sharing"",""พังงา!M242"")"),195600)</f>
        <v>195600</v>
      </c>
      <c r="O347" s="364">
        <f ca="1">+IF(L347&gt;0,N347*100/L347,0)</f>
        <v>18.291108832265873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IFERROR(__xludf.DUMMYFUNCTION("IMPORTRANGE(""https://docs.google.com/spreadsheets/d/1IYY_tgx_IHuhSq3AJ5eI5OnqOPBNLWSHKh2a30DoXe8/edit?usp=sharing"",""พังงา!I244"")"),30)</f>
        <v>30</v>
      </c>
      <c r="J349" s="377">
        <f ca="1">IFERROR(__xludf.DUMMYFUNCTION("IMPORTRANGE(""https://docs.google.com/spreadsheets/d/1IYY_tgx_IHuhSq3AJ5eI5OnqOPBNLWSHKh2a30DoXe8/edit?usp=sharing"",""พังงา!J244"")"),0)</f>
        <v>0</v>
      </c>
      <c r="K349" s="378">
        <f t="shared" ref="K349:K350" ca="1" si="104">IF(I349&gt;0,J349*100/I349,0)</f>
        <v>0</v>
      </c>
      <c r="L349" s="379">
        <f ca="1">IFERROR(__xludf.DUMMYFUNCTION("IMPORTRANGE(""https://docs.google.com/spreadsheets/d/1IYY_tgx_IHuhSq3AJ5eI5OnqOPBNLWSHKh2a30DoXe8/edit?usp=sharing"",""พังงา!L244"")"),72420)</f>
        <v>72420</v>
      </c>
      <c r="M349" s="379"/>
      <c r="N349" s="379">
        <f ca="1">IFERROR(__xludf.DUMMYFUNCTION("IMPORTRANGE(""https://docs.google.com/spreadsheets/d/1IYY_tgx_IHuhSq3AJ5eI5OnqOPBNLWSHKh2a30DoXe8/edit?usp=sharing"",""พังงา!M244"")"),11200)</f>
        <v>11200</v>
      </c>
      <c r="O349" s="379">
        <f ca="1">+IF(L349&gt;0,N349*100/L349,0)</f>
        <v>15.465341066003866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IFERROR(__xludf.DUMMYFUNCTION("IMPORTRANGE(""https://docs.google.com/spreadsheets/d/1IYY_tgx_IHuhSq3AJ5eI5OnqOPBNLWSHKh2a30DoXe8/edit?usp=sharing"",""พังงา!I245"")"),15)</f>
        <v>15</v>
      </c>
      <c r="J350" s="377">
        <f ca="1">IFERROR(__xludf.DUMMYFUNCTION("IMPORTRANGE(""https://docs.google.com/spreadsheets/d/1IYY_tgx_IHuhSq3AJ5eI5OnqOPBNLWSHKh2a30DoXe8/edit?usp=sharing"",""พังงา!J245"")"),15)</f>
        <v>15</v>
      </c>
      <c r="K350" s="378">
        <f t="shared" ca="1" si="104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IFERROR(__xludf.DUMMYFUNCTION("IMPORTRANGE(""https://docs.google.com/spreadsheets/d/1IYY_tgx_IHuhSq3AJ5eI5OnqOPBNLWSHKh2a30DoXe8/edit?usp=sharing"",""พังงา!L246"")"),0)</f>
        <v>0</v>
      </c>
      <c r="M351" s="168"/>
      <c r="N351" s="168">
        <f ca="1">IFERROR(__xludf.DUMMYFUNCTION("IMPORTRANGE(""https://docs.google.com/spreadsheets/d/1IYY_tgx_IHuhSq3AJ5eI5OnqOPBNLWSHKh2a30DoXe8/edit?usp=sharing"",""พังงา!M246"")"),0)</f>
        <v>0</v>
      </c>
      <c r="O351" s="169">
        <f t="shared" ref="O351:O354" ca="1" si="105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IFERROR(__xludf.DUMMYFUNCTION("IMPORTRANGE(""https://docs.google.com/spreadsheets/d/1IYY_tgx_IHuhSq3AJ5eI5OnqOPBNLWSHKh2a30DoXe8/edit?usp=sharing"",""พังงา!L247"")"),72420)</f>
        <v>72420</v>
      </c>
      <c r="M352" s="169"/>
      <c r="N352" s="168">
        <f ca="1">IFERROR(__xludf.DUMMYFUNCTION("IMPORTRANGE(""https://docs.google.com/spreadsheets/d/1IYY_tgx_IHuhSq3AJ5eI5OnqOPBNLWSHKh2a30DoXe8/edit?usp=sharing"",""พังงา!M247"")"),11200)</f>
        <v>11200</v>
      </c>
      <c r="O352" s="169">
        <f t="shared" ca="1" si="105"/>
        <v>15.465341066003866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IFERROR(__xludf.DUMMYFUNCTION("IMPORTRANGE(""https://docs.google.com/spreadsheets/d/1IYY_tgx_IHuhSq3AJ5eI5OnqOPBNLWSHKh2a30DoXe8/edit?usp=sharing"",""พังงา!L248"")"),0)</f>
        <v>0</v>
      </c>
      <c r="M353" s="175"/>
      <c r="N353" s="175">
        <f ca="1">IFERROR(__xludf.DUMMYFUNCTION("IMPORTRANGE(""https://docs.google.com/spreadsheets/d/1IYY_tgx_IHuhSq3AJ5eI5OnqOPBNLWSHKh2a30DoXe8/edit?usp=sharing"",""พังงา!M248"")"),0)</f>
        <v>0</v>
      </c>
      <c r="O353" s="175">
        <f t="shared" ca="1" si="105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IFERROR(__xludf.DUMMYFUNCTION("IMPORTRANGE(""https://docs.google.com/spreadsheets/d/1IYY_tgx_IHuhSq3AJ5eI5OnqOPBNLWSHKh2a30DoXe8/edit?usp=sharing"",""พังงา!L249"")"),72420)</f>
        <v>72420</v>
      </c>
      <c r="M354" s="175"/>
      <c r="N354" s="172">
        <f ca="1">IFERROR(__xludf.DUMMYFUNCTION("IMPORTRANGE(""https://docs.google.com/spreadsheets/d/1IYY_tgx_IHuhSq3AJ5eI5OnqOPBNLWSHKh2a30DoXe8/edit?usp=sharing"",""พังงา!M249"")"),11200)</f>
        <v>11200</v>
      </c>
      <c r="O354" s="175">
        <f t="shared" ca="1" si="105"/>
        <v>15.465341066003866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IFERROR(__xludf.DUMMYFUNCTION("IMPORTRANGE(""https://docs.google.com/spreadsheets/d/1IYY_tgx_IHuhSq3AJ5eI5OnqOPBNLWSHKh2a30DoXe8/edit?usp=sharing"",""พังงา!M250"")"),7640)</f>
        <v>7640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IFERROR(__xludf.DUMMYFUNCTION("IMPORTRANGE(""https://docs.google.com/spreadsheets/d/1IYY_tgx_IHuhSq3AJ5eI5OnqOPBNLWSHKh2a30DoXe8/edit?usp=sharing"",""พังงา!M251"")"),0)</f>
        <v>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IFERROR(__xludf.DUMMYFUNCTION("IMPORTRANGE(""https://docs.google.com/spreadsheets/d/1IYY_tgx_IHuhSq3AJ5eI5OnqOPBNLWSHKh2a30DoXe8/edit?usp=sharing"",""พังงา!M252"")"),0)</f>
        <v>0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IFERROR(__xludf.DUMMYFUNCTION("IMPORTRANGE(""https://docs.google.com/spreadsheets/d/1IYY_tgx_IHuhSq3AJ5eI5OnqOPBNLWSHKh2a30DoXe8/edit?usp=sharing"",""พังงา!M253"")"),3560)</f>
        <v>3560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IFERROR(__xludf.DUMMYFUNCTION("IMPORTRANGE(""https://docs.google.com/spreadsheets/d/1IYY_tgx_IHuhSq3AJ5eI5OnqOPBNLWSHKh2a30DoXe8/edit?usp=sharing"",""พังงา!J255"")"),0)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IFERROR(__xludf.DUMMYFUNCTION("IMPORTRANGE(""https://docs.google.com/spreadsheets/d/1IYY_tgx_IHuhSq3AJ5eI5OnqOPBNLWSHKh2a30DoXe8/edit?usp=sharing"",""พังงา!J256"")"),1)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IFERROR(__xludf.DUMMYFUNCTION("IMPORTRANGE(""https://docs.google.com/spreadsheets/d/1IYY_tgx_IHuhSq3AJ5eI5OnqOPBNLWSHKh2a30DoXe8/edit?usp=sharing"",""พังงา!J257"")"),1)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IFERROR(__xludf.DUMMYFUNCTION("IMPORTRANGE(""https://docs.google.com/spreadsheets/d/1IYY_tgx_IHuhSq3AJ5eI5OnqOPBNLWSHKh2a30DoXe8/edit?usp=sharing"",""พังงา!J258"")"),1)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IFERROR(__xludf.DUMMYFUNCTION("IMPORTRANGE(""https://docs.google.com/spreadsheets/d/1IYY_tgx_IHuhSq3AJ5eI5OnqOPBNLWSHKh2a30DoXe8/edit?usp=sharing"",""พังงา!J166"")"),0)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IFERROR(__xludf.DUMMYFUNCTION("IMPORTRANGE(""https://docs.google.com/spreadsheets/d/1IYY_tgx_IHuhSq3AJ5eI5OnqOPBNLWSHKh2a30DoXe8/edit?usp=sharing"",""พังงา!J166"")"),0)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IFERROR(__xludf.DUMMYFUNCTION("IMPORTRANGE(""https://docs.google.com/spreadsheets/d/1IYY_tgx_IHuhSq3AJ5eI5OnqOPBNLWSHKh2a30DoXe8/edit?usp=sharing"",""พังงา!J166"")"),0)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IFERROR(__xludf.DUMMYFUNCTION("IMPORTRANGE(""https://docs.google.com/spreadsheets/d/1IYY_tgx_IHuhSq3AJ5eI5OnqOPBNLWSHKh2a30DoXe8/edit?usp=sharing"",""พังงา!J166"")"),0)</f>
        <v>0</v>
      </c>
      <c r="K367" s="167">
        <f t="shared" ref="K367:K373" ca="1" si="106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IFERROR(__xludf.DUMMYFUNCTION("IMPORTRANGE(""https://docs.google.com/spreadsheets/d/1IYY_tgx_IHuhSq3AJ5eI5OnqOPBNLWSHKh2a30DoXe8/edit?usp=sharing"",""พังงา!I263"")"),15)</f>
        <v>15</v>
      </c>
      <c r="J368" s="194">
        <f ca="1">IFERROR(__xludf.DUMMYFUNCTION("IMPORTRANGE(""https://docs.google.com/spreadsheets/d/1IYY_tgx_IHuhSq3AJ5eI5OnqOPBNLWSHKh2a30DoXe8/edit?usp=sharing"",""พังงา!J263"")"),15)</f>
        <v>15</v>
      </c>
      <c r="K368" s="167">
        <f t="shared" ca="1" si="106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IFERROR(__xludf.DUMMYFUNCTION("IMPORTRANGE(""https://docs.google.com/spreadsheets/d/1IYY_tgx_IHuhSq3AJ5eI5OnqOPBNLWSHKh2a30DoXe8/edit?usp=sharing"",""พังงา!I164"")"),0)</f>
        <v>0</v>
      </c>
      <c r="J369" s="210">
        <f ca="1">IFERROR(__xludf.DUMMYFUNCTION("IMPORTRANGE(""https://docs.google.com/spreadsheets/d/1IYY_tgx_IHuhSq3AJ5eI5OnqOPBNLWSHKh2a30DoXe8/edit?usp=sharing"",""พังงา!J164"")"),0)</f>
        <v>0</v>
      </c>
      <c r="K369" s="167">
        <f t="shared" ca="1" si="106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IFERROR(__xludf.DUMMYFUNCTION("IMPORTRANGE(""https://docs.google.com/spreadsheets/d/1IYY_tgx_IHuhSq3AJ5eI5OnqOPBNLWSHKh2a30DoXe8/edit?usp=sharing"",""พังงา!I265"")"),15)</f>
        <v>15</v>
      </c>
      <c r="J370" s="210">
        <f ca="1">IFERROR(__xludf.DUMMYFUNCTION("IMPORTRANGE(""https://docs.google.com/spreadsheets/d/1IYY_tgx_IHuhSq3AJ5eI5OnqOPBNLWSHKh2a30DoXe8/edit?usp=sharing"",""พังงา!J265"")"),5)</f>
        <v>5</v>
      </c>
      <c r="K370" s="167">
        <f t="shared" ca="1" si="106"/>
        <v>33.333333333333336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IFERROR(__xludf.DUMMYFUNCTION("IMPORTRANGE(""https://docs.google.com/spreadsheets/d/1IYY_tgx_IHuhSq3AJ5eI5OnqOPBNLWSHKh2a30DoXe8/edit?usp=sharing"",""พังงา!I164"")"),0)</f>
        <v>0</v>
      </c>
      <c r="J371" s="195">
        <f ca="1">IFERROR(__xludf.DUMMYFUNCTION("IMPORTRANGE(""https://docs.google.com/spreadsheets/d/1IYY_tgx_IHuhSq3AJ5eI5OnqOPBNLWSHKh2a30DoXe8/edit?usp=sharing"",""พังงา!J164"")"),0)</f>
        <v>0</v>
      </c>
      <c r="K371" s="167">
        <f t="shared" ca="1" si="106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IFERROR(__xludf.DUMMYFUNCTION("IMPORTRANGE(""https://docs.google.com/spreadsheets/d/1IYY_tgx_IHuhSq3AJ5eI5OnqOPBNLWSHKh2a30DoXe8/edit?usp=sharing"",""พังงา!I267"")"),15)</f>
        <v>15</v>
      </c>
      <c r="J372" s="195">
        <f ca="1">IFERROR(__xludf.DUMMYFUNCTION("IMPORTRANGE(""https://docs.google.com/spreadsheets/d/1IYY_tgx_IHuhSq3AJ5eI5OnqOPBNLWSHKh2a30DoXe8/edit?usp=sharing"",""พังงา!J267"")"),10)</f>
        <v>10</v>
      </c>
      <c r="K372" s="167">
        <f t="shared" ca="1" si="106"/>
        <v>66.666666666666671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IFERROR(__xludf.DUMMYFUNCTION("IMPORTRANGE(""https://docs.google.com/spreadsheets/d/1IYY_tgx_IHuhSq3AJ5eI5OnqOPBNLWSHKh2a30DoXe8/edit?usp=sharing"",""พังงา!I164"")"),0)</f>
        <v>0</v>
      </c>
      <c r="J373" s="210">
        <f ca="1">IFERROR(__xludf.DUMMYFUNCTION("IMPORTRANGE(""https://docs.google.com/spreadsheets/d/1IYY_tgx_IHuhSq3AJ5eI5OnqOPBNLWSHKh2a30DoXe8/edit?usp=sharing"",""พังงา!J164"")"),0)</f>
        <v>0</v>
      </c>
      <c r="K373" s="167">
        <f t="shared" ca="1" si="106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IFERROR(__xludf.DUMMYFUNCTION("IMPORTRANGE(""https://docs.google.com/spreadsheets/d/1IYY_tgx_IHuhSq3AJ5eI5OnqOPBNLWSHKh2a30DoXe8/edit?usp=sharing"",""พังงา!I164"")"),0)</f>
        <v>0</v>
      </c>
      <c r="J374" s="194">
        <f ca="1">IFERROR(__xludf.DUMMYFUNCTION("IMPORTRANGE(""https://docs.google.com/spreadsheets/d/1IYY_tgx_IHuhSq3AJ5eI5OnqOPBNLWSHKh2a30DoXe8/edit?usp=sharing"",""พังงา!J164"")"),0)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IFERROR(__xludf.DUMMYFUNCTION("IMPORTRANGE(""https://docs.google.com/spreadsheets/d/1IYY_tgx_IHuhSq3AJ5eI5OnqOPBNLWSHKh2a30DoXe8/edit?usp=sharing"",""พังงา!I270"")"),30)</f>
        <v>30</v>
      </c>
      <c r="J375" s="194">
        <f ca="1">IFERROR(__xludf.DUMMYFUNCTION("IMPORTRANGE(""https://docs.google.com/spreadsheets/d/1IYY_tgx_IHuhSq3AJ5eI5OnqOPBNLWSHKh2a30DoXe8/edit?usp=sharing"",""พังงา!J270"")"),0)</f>
        <v>0</v>
      </c>
      <c r="K375" s="167">
        <f t="shared" ref="K375:K377" ca="1" si="107">IF(I375&gt;0,J375*100/I375,0)</f>
        <v>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IFERROR(__xludf.DUMMYFUNCTION("IMPORTRANGE(""https://docs.google.com/spreadsheets/d/1IYY_tgx_IHuhSq3AJ5eI5OnqOPBNLWSHKh2a30DoXe8/edit?usp=sharing"",""พังงา!I271"")"),20)</f>
        <v>20</v>
      </c>
      <c r="J376" s="195">
        <f ca="1">IFERROR(__xludf.DUMMYFUNCTION("IMPORTRANGE(""https://docs.google.com/spreadsheets/d/1IYY_tgx_IHuhSq3AJ5eI5OnqOPBNLWSHKh2a30DoXe8/edit?usp=sharing"",""พังงา!J271"")"),0)</f>
        <v>0</v>
      </c>
      <c r="K376" s="167">
        <f t="shared" ca="1" si="107"/>
        <v>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IFERROR(__xludf.DUMMYFUNCTION("IMPORTRANGE(""https://docs.google.com/spreadsheets/d/1IYY_tgx_IHuhSq3AJ5eI5OnqOPBNLWSHKh2a30DoXe8/edit?usp=sharing"",""พังงา!I272"")"),10)</f>
        <v>10</v>
      </c>
      <c r="J377" s="210">
        <f ca="1">IFERROR(__xludf.DUMMYFUNCTION("IMPORTRANGE(""https://docs.google.com/spreadsheets/d/1IYY_tgx_IHuhSq3AJ5eI5OnqOPBNLWSHKh2a30DoXe8/edit?usp=sharing"",""พังงา!J272"")"),0)</f>
        <v>0</v>
      </c>
      <c r="K377" s="167">
        <f t="shared" ca="1" si="107"/>
        <v>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IFERROR(__xludf.DUMMYFUNCTION("IMPORTRANGE(""https://docs.google.com/spreadsheets/d/1IYY_tgx_IHuhSq3AJ5eI5OnqOPBNLWSHKh2a30DoXe8/edit?usp=sharing"",""พังงา!J273"")"),0)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IFERROR(__xludf.DUMMYFUNCTION("IMPORTRANGE(""https://docs.google.com/spreadsheets/d/1IYY_tgx_IHuhSq3AJ5eI5OnqOPBNLWSHKh2a30DoXe8/edit?usp=sharing"",""พังงา!J274"")"),0)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IFERROR(__xludf.DUMMYFUNCTION("IMPORTRANGE(""https://docs.google.com/spreadsheets/d/1IYY_tgx_IHuhSq3AJ5eI5OnqOPBNLWSHKh2a30DoXe8/edit?usp=sharing"",""พังงา!I275"")"),500)</f>
        <v>500</v>
      </c>
      <c r="J380" s="377">
        <f ca="1">IFERROR(__xludf.DUMMYFUNCTION("IMPORTRANGE(""https://docs.google.com/spreadsheets/d/1IYY_tgx_IHuhSq3AJ5eI5OnqOPBNLWSHKh2a30DoXe8/edit?usp=sharing"",""พังงา!J275"")"),0)</f>
        <v>0</v>
      </c>
      <c r="K380" s="378">
        <f t="shared" ref="K380:K381" ca="1" si="108">IF(I380&gt;0,J380*100/I380,0)</f>
        <v>0</v>
      </c>
      <c r="L380" s="379">
        <f ca="1">IFERROR(__xludf.DUMMYFUNCTION("IMPORTRANGE(""https://docs.google.com/spreadsheets/d/1IYY_tgx_IHuhSq3AJ5eI5OnqOPBNLWSHKh2a30DoXe8/edit?usp=sharing"",""พังงา!L275"")"),460140)</f>
        <v>460140</v>
      </c>
      <c r="M380" s="379"/>
      <c r="N380" s="379">
        <f ca="1">IFERROR(__xludf.DUMMYFUNCTION("IMPORTRANGE(""https://docs.google.com/spreadsheets/d/1IYY_tgx_IHuhSq3AJ5eI5OnqOPBNLWSHKh2a30DoXe8/edit?usp=sharing"",""พังงา!M275"")"),39560)</f>
        <v>39560</v>
      </c>
      <c r="O380" s="379">
        <f ca="1">+IF(L380&gt;0,N380*100/L380,0)</f>
        <v>8.5973834050506373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IFERROR(__xludf.DUMMYFUNCTION("IMPORTRANGE(""https://docs.google.com/spreadsheets/d/1IYY_tgx_IHuhSq3AJ5eI5OnqOPBNLWSHKh2a30DoXe8/edit?usp=sharing"",""พังงา!I276"")"),50)</f>
        <v>50</v>
      </c>
      <c r="J381" s="377">
        <f ca="1">IFERROR(__xludf.DUMMYFUNCTION("IMPORTRANGE(""https://docs.google.com/spreadsheets/d/1IYY_tgx_IHuhSq3AJ5eI5OnqOPBNLWSHKh2a30DoXe8/edit?usp=sharing"",""พังงา!J276"")"),50)</f>
        <v>50</v>
      </c>
      <c r="K381" s="378">
        <f t="shared" ca="1" si="108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IFERROR(__xludf.DUMMYFUNCTION("IMPORTRANGE(""https://docs.google.com/spreadsheets/d/1IYY_tgx_IHuhSq3AJ5eI5OnqOPBNLWSHKh2a30DoXe8/edit?usp=sharing"",""พังงา!L277"")"),0)</f>
        <v>0</v>
      </c>
      <c r="M382" s="168"/>
      <c r="N382" s="168">
        <f ca="1">IFERROR(__xludf.DUMMYFUNCTION("IMPORTRANGE(""https://docs.google.com/spreadsheets/d/1IYY_tgx_IHuhSq3AJ5eI5OnqOPBNLWSHKh2a30DoXe8/edit?usp=sharing"",""พังงา!M277"")"),0)</f>
        <v>0</v>
      </c>
      <c r="O382" s="169">
        <f t="shared" ref="O382:O385" ca="1" si="109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IFERROR(__xludf.DUMMYFUNCTION("IMPORTRANGE(""https://docs.google.com/spreadsheets/d/1IYY_tgx_IHuhSq3AJ5eI5OnqOPBNLWSHKh2a30DoXe8/edit?usp=sharing"",""พังงา!L278"")"),460140)</f>
        <v>460140</v>
      </c>
      <c r="M383" s="169"/>
      <c r="N383" s="169">
        <f ca="1">IFERROR(__xludf.DUMMYFUNCTION("IMPORTRANGE(""https://docs.google.com/spreadsheets/d/1IYY_tgx_IHuhSq3AJ5eI5OnqOPBNLWSHKh2a30DoXe8/edit?usp=sharing"",""พังงา!M278"")"),39560)</f>
        <v>39560</v>
      </c>
      <c r="O383" s="169">
        <f t="shared" ca="1" si="109"/>
        <v>8.5973834050506373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IFERROR(__xludf.DUMMYFUNCTION("IMPORTRANGE(""https://docs.google.com/spreadsheets/d/1IYY_tgx_IHuhSq3AJ5eI5OnqOPBNLWSHKh2a30DoXe8/edit?usp=sharing"",""พังงา!L279"")"),0)</f>
        <v>0</v>
      </c>
      <c r="M384" s="175"/>
      <c r="N384" s="175">
        <f ca="1">IFERROR(__xludf.DUMMYFUNCTION("IMPORTRANGE(""https://docs.google.com/spreadsheets/d/1IYY_tgx_IHuhSq3AJ5eI5OnqOPBNLWSHKh2a30DoXe8/edit?usp=sharing"",""พังงา!M279"")"),0)</f>
        <v>0</v>
      </c>
      <c r="O384" s="175">
        <f t="shared" ca="1" si="109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IFERROR(__xludf.DUMMYFUNCTION("IMPORTRANGE(""https://docs.google.com/spreadsheets/d/1IYY_tgx_IHuhSq3AJ5eI5OnqOPBNLWSHKh2a30DoXe8/edit?usp=sharing"",""พังงา!L280"")"),460140)</f>
        <v>460140</v>
      </c>
      <c r="M385" s="175"/>
      <c r="N385" s="172">
        <f ca="1">IFERROR(__xludf.DUMMYFUNCTION("IMPORTRANGE(""https://docs.google.com/spreadsheets/d/1IYY_tgx_IHuhSq3AJ5eI5OnqOPBNLWSHKh2a30DoXe8/edit?usp=sharing"",""พังงา!M280"")"),39560)</f>
        <v>39560</v>
      </c>
      <c r="O385" s="175">
        <f t="shared" ca="1" si="109"/>
        <v>8.5973834050506373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IFERROR(__xludf.DUMMYFUNCTION("IMPORTRANGE(""https://docs.google.com/spreadsheets/d/1IYY_tgx_IHuhSq3AJ5eI5OnqOPBNLWSHKh2a30DoXe8/edit?usp=sharing"",""พังงา!M281"")"),30570)</f>
        <v>30570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IFERROR(__xludf.DUMMYFUNCTION("IMPORTRANGE(""https://docs.google.com/spreadsheets/d/1IYY_tgx_IHuhSq3AJ5eI5OnqOPBNLWSHKh2a30DoXe8/edit?usp=sharing"",""พังงา!M282"")"),0)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IFERROR(__xludf.DUMMYFUNCTION("IMPORTRANGE(""https://docs.google.com/spreadsheets/d/1IYY_tgx_IHuhSq3AJ5eI5OnqOPBNLWSHKh2a30DoXe8/edit?usp=sharing"",""พังงา!M283"")"),0)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IFERROR(__xludf.DUMMYFUNCTION("IMPORTRANGE(""https://docs.google.com/spreadsheets/d/1IYY_tgx_IHuhSq3AJ5eI5OnqOPBNLWSHKh2a30DoXe8/edit?usp=sharing"",""พังงา!M284"")"),8990)</f>
        <v>8990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IFERROR(__xludf.DUMMYFUNCTION("IMPORTRANGE(""https://docs.google.com/spreadsheets/d/1IYY_tgx_IHuhSq3AJ5eI5OnqOPBNLWSHKh2a30DoXe8/edit?usp=sharing"",""พังงา!J286"")"),0)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IFERROR(__xludf.DUMMYFUNCTION("IMPORTRANGE(""https://docs.google.com/spreadsheets/d/1IYY_tgx_IHuhSq3AJ5eI5OnqOPBNLWSHKh2a30DoXe8/edit?usp=sharing"",""พังงา!J287"")"),1)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IFERROR(__xludf.DUMMYFUNCTION("IMPORTRANGE(""https://docs.google.com/spreadsheets/d/1IYY_tgx_IHuhSq3AJ5eI5OnqOPBNLWSHKh2a30DoXe8/edit?usp=sharing"",""พังงา!J288"")"),1)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IFERROR(__xludf.DUMMYFUNCTION("IMPORTRANGE(""https://docs.google.com/spreadsheets/d/1IYY_tgx_IHuhSq3AJ5eI5OnqOPBNLWSHKh2a30DoXe8/edit?usp=sharing"",""พังงา!J289"")"),1)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IFERROR(__xludf.DUMMYFUNCTION("IMPORTRANGE(""https://docs.google.com/spreadsheets/d/1IYY_tgx_IHuhSq3AJ5eI5OnqOPBNLWSHKh2a30DoXe8/edit?usp=sharing"",""พังงา!I291"")"),50)</f>
        <v>50</v>
      </c>
      <c r="J396" s="204">
        <f ca="1">IFERROR(__xludf.DUMMYFUNCTION("IMPORTRANGE(""https://docs.google.com/spreadsheets/d/1IYY_tgx_IHuhSq3AJ5eI5OnqOPBNLWSHKh2a30DoXe8/edit?usp=sharing"",""พังงา!J291"")"),50)</f>
        <v>50</v>
      </c>
      <c r="K396" s="167">
        <f t="shared" ref="K396:K398" ca="1" si="110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IFERROR(__xludf.DUMMYFUNCTION("IMPORTRANGE(""https://docs.google.com/spreadsheets/d/1IYY_tgx_IHuhSq3AJ5eI5OnqOPBNLWSHKh2a30DoXe8/edit?usp=sharing"",""พังงา!I292"")"),500)</f>
        <v>500</v>
      </c>
      <c r="J397" s="204">
        <f ca="1">IFERROR(__xludf.DUMMYFUNCTION("IMPORTRANGE(""https://docs.google.com/spreadsheets/d/1IYY_tgx_IHuhSq3AJ5eI5OnqOPBNLWSHKh2a30DoXe8/edit?usp=sharing"",""พังงา!J292"")"),0)</f>
        <v>0</v>
      </c>
      <c r="K397" s="167">
        <f t="shared" ca="1" si="110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IFERROR(__xludf.DUMMYFUNCTION("IMPORTRANGE(""https://docs.google.com/spreadsheets/d/1IYY_tgx_IHuhSq3AJ5eI5OnqOPBNLWSHKh2a30DoXe8/edit?usp=sharing"",""พังงา!I293"")"),50)</f>
        <v>50</v>
      </c>
      <c r="J398" s="204">
        <f ca="1">IFERROR(__xludf.DUMMYFUNCTION("IMPORTRANGE(""https://docs.google.com/spreadsheets/d/1IYY_tgx_IHuhSq3AJ5eI5OnqOPBNLWSHKh2a30DoXe8/edit?usp=sharing"",""พังงา!J293"")"),0)</f>
        <v>0</v>
      </c>
      <c r="K398" s="167">
        <f t="shared" ca="1" si="110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IFERROR(__xludf.DUMMYFUNCTION("IMPORTRANGE(""https://docs.google.com/spreadsheets/d/1IYY_tgx_IHuhSq3AJ5eI5OnqOPBNLWSHKh2a30DoXe8/edit?usp=sharing"",""พังงา!J294"")"),0)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IFERROR(__xludf.DUMMYFUNCTION("IMPORTRANGE(""https://docs.google.com/spreadsheets/d/1IYY_tgx_IHuhSq3AJ5eI5OnqOPBNLWSHKh2a30DoXe8/edit?usp=sharing"",""พังงา!J295"")"),0)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IFERROR(__xludf.DUMMYFUNCTION("IMPORTRANGE(""https://docs.google.com/spreadsheets/d/1IYY_tgx_IHuhSq3AJ5eI5OnqOPBNLWSHKh2a30DoXe8/edit?usp=sharing"",""พังงา!I296"")"),90)</f>
        <v>90</v>
      </c>
      <c r="J401" s="377">
        <f ca="1">IFERROR(__xludf.DUMMYFUNCTION("IMPORTRANGE(""https://docs.google.com/spreadsheets/d/1IYY_tgx_IHuhSq3AJ5eI5OnqOPBNLWSHKh2a30DoXe8/edit?usp=sharing"",""พังงา!J296"")"),90)</f>
        <v>90</v>
      </c>
      <c r="K401" s="378">
        <f t="shared" ref="K401:K402" ca="1" si="111">IF(I401&gt;0,J401*100/I401,0)</f>
        <v>100</v>
      </c>
      <c r="L401" s="379">
        <f ca="1">IFERROR(__xludf.DUMMYFUNCTION("IMPORTRANGE(""https://docs.google.com/spreadsheets/d/1IYY_tgx_IHuhSq3AJ5eI5OnqOPBNLWSHKh2a30DoXe8/edit?usp=sharing"",""พังงา!L296"")"),116320)</f>
        <v>116320</v>
      </c>
      <c r="M401" s="379"/>
      <c r="N401" s="379">
        <f ca="1">IFERROR(__xludf.DUMMYFUNCTION("IMPORTRANGE(""https://docs.google.com/spreadsheets/d/1IYY_tgx_IHuhSq3AJ5eI5OnqOPBNLWSHKh2a30DoXe8/edit?usp=sharing"",""พังงา!M296"")"),32360)</f>
        <v>32360</v>
      </c>
      <c r="O401" s="379">
        <f ca="1">+IF(L401&gt;0,N401*100/L401,0)</f>
        <v>27.81980742778542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IFERROR(__xludf.DUMMYFUNCTION("IMPORTRANGE(""https://docs.google.com/spreadsheets/d/1IYY_tgx_IHuhSq3AJ5eI5OnqOPBNLWSHKh2a30DoXe8/edit?usp=sharing"",""พังงา!I297"")"),30)</f>
        <v>30</v>
      </c>
      <c r="J402" s="377">
        <f ca="1">IFERROR(__xludf.DUMMYFUNCTION("IMPORTRANGE(""https://docs.google.com/spreadsheets/d/1IYY_tgx_IHuhSq3AJ5eI5OnqOPBNLWSHKh2a30DoXe8/edit?usp=sharing"",""พังงา!J297"")"),30)</f>
        <v>30</v>
      </c>
      <c r="K402" s="378">
        <f t="shared" ca="1" si="111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IFERROR(__xludf.DUMMYFUNCTION("IMPORTRANGE(""https://docs.google.com/spreadsheets/d/1IYY_tgx_IHuhSq3AJ5eI5OnqOPBNLWSHKh2a30DoXe8/edit?usp=sharing"",""พังงา!L298"")"),0)</f>
        <v>0</v>
      </c>
      <c r="M403" s="168"/>
      <c r="N403" s="175">
        <f ca="1">IFERROR(__xludf.DUMMYFUNCTION("IMPORTRANGE(""https://docs.google.com/spreadsheets/d/1IYY_tgx_IHuhSq3AJ5eI5OnqOPBNLWSHKh2a30DoXe8/edit?usp=sharing"",""พังงา!M298"")"),0)</f>
        <v>0</v>
      </c>
      <c r="O403" s="175">
        <f t="shared" ref="O403:O406" ca="1" si="112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IFERROR(__xludf.DUMMYFUNCTION("IMPORTRANGE(""https://docs.google.com/spreadsheets/d/1IYY_tgx_IHuhSq3AJ5eI5OnqOPBNLWSHKh2a30DoXe8/edit?usp=sharing"",""พังงา!L299"")"),116320)</f>
        <v>116320</v>
      </c>
      <c r="M404" s="169"/>
      <c r="N404" s="175">
        <f ca="1">IFERROR(__xludf.DUMMYFUNCTION("IMPORTRANGE(""https://docs.google.com/spreadsheets/d/1IYY_tgx_IHuhSq3AJ5eI5OnqOPBNLWSHKh2a30DoXe8/edit?usp=sharing"",""พังงา!M299"")"),32360)</f>
        <v>32360</v>
      </c>
      <c r="O404" s="175">
        <f t="shared" ca="1" si="112"/>
        <v>27.81980742778542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IFERROR(__xludf.DUMMYFUNCTION("IMPORTRANGE(""https://docs.google.com/spreadsheets/d/1IYY_tgx_IHuhSq3AJ5eI5OnqOPBNLWSHKh2a30DoXe8/edit?usp=sharing"",""พังงา!L300"")"),0)</f>
        <v>0</v>
      </c>
      <c r="M405" s="175"/>
      <c r="N405" s="175">
        <f ca="1">IFERROR(__xludf.DUMMYFUNCTION("IMPORTRANGE(""https://docs.google.com/spreadsheets/d/1IYY_tgx_IHuhSq3AJ5eI5OnqOPBNLWSHKh2a30DoXe8/edit?usp=sharing"",""พังงา!M300"")"),0)</f>
        <v>0</v>
      </c>
      <c r="O405" s="175">
        <f t="shared" ca="1" si="112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IFERROR(__xludf.DUMMYFUNCTION("IMPORTRANGE(""https://docs.google.com/spreadsheets/d/1IYY_tgx_IHuhSq3AJ5eI5OnqOPBNLWSHKh2a30DoXe8/edit?usp=sharing"",""พังงา!L301"")"),116320)</f>
        <v>116320</v>
      </c>
      <c r="M406" s="175"/>
      <c r="N406" s="175">
        <f ca="1">IFERROR(__xludf.DUMMYFUNCTION("IMPORTRANGE(""https://docs.google.com/spreadsheets/d/1IYY_tgx_IHuhSq3AJ5eI5OnqOPBNLWSHKh2a30DoXe8/edit?usp=sharing"",""พังงา!M301"")"),32360)</f>
        <v>32360</v>
      </c>
      <c r="O406" s="175">
        <f t="shared" ca="1" si="112"/>
        <v>27.81980742778542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IFERROR(__xludf.DUMMYFUNCTION("IMPORTRANGE(""https://docs.google.com/spreadsheets/d/1IYY_tgx_IHuhSq3AJ5eI5OnqOPBNLWSHKh2a30DoXe8/edit?usp=sharing"",""พังงา!M302"")"),0)</f>
        <v>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IFERROR(__xludf.DUMMYFUNCTION("IMPORTRANGE(""https://docs.google.com/spreadsheets/d/1IYY_tgx_IHuhSq3AJ5eI5OnqOPBNLWSHKh2a30DoXe8/edit?usp=sharing"",""พังงา!M303"")"),30760)</f>
        <v>30760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IFERROR(__xludf.DUMMYFUNCTION("IMPORTRANGE(""https://docs.google.com/spreadsheets/d/1IYY_tgx_IHuhSq3AJ5eI5OnqOPBNLWSHKh2a30DoXe8/edit?usp=sharing"",""พังงา!M304"")"),0)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IFERROR(__xludf.DUMMYFUNCTION("IMPORTRANGE(""https://docs.google.com/spreadsheets/d/1IYY_tgx_IHuhSq3AJ5eI5OnqOPBNLWSHKh2a30DoXe8/edit?usp=sharing"",""พังงา!M305"")"),1600)</f>
        <v>1600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IFERROR(__xludf.DUMMYFUNCTION("IMPORTRANGE(""https://docs.google.com/spreadsheets/d/1IYY_tgx_IHuhSq3AJ5eI5OnqOPBNLWSHKh2a30DoXe8/edit?usp=sharing"",""พังงา!J307"")"),0)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IFERROR(__xludf.DUMMYFUNCTION("IMPORTRANGE(""https://docs.google.com/spreadsheets/d/1IYY_tgx_IHuhSq3AJ5eI5OnqOPBNLWSHKh2a30DoXe8/edit?usp=sharing"",""พังงา!J308"")"),1)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IFERROR(__xludf.DUMMYFUNCTION("IMPORTRANGE(""https://docs.google.com/spreadsheets/d/1IYY_tgx_IHuhSq3AJ5eI5OnqOPBNLWSHKh2a30DoXe8/edit?usp=sharing"",""พังงา!J309"")"),1)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IFERROR(__xludf.DUMMYFUNCTION("IMPORTRANGE(""https://docs.google.com/spreadsheets/d/1IYY_tgx_IHuhSq3AJ5eI5OnqOPBNLWSHKh2a30DoXe8/edit?usp=sharing"",""พังงา!J310"")"),1)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IFERROR(__xludf.DUMMYFUNCTION("IMPORTRANGE(""https://docs.google.com/spreadsheets/d/1IYY_tgx_IHuhSq3AJ5eI5OnqOPBNLWSHKh2a30DoXe8/edit?usp=sharing"",""พังงา!I311"")"),30)</f>
        <v>30</v>
      </c>
      <c r="J416" s="207">
        <f ca="1">IFERROR(__xludf.DUMMYFUNCTION("IMPORTRANGE(""https://docs.google.com/spreadsheets/d/1IYY_tgx_IHuhSq3AJ5eI5OnqOPBNLWSHKh2a30DoXe8/edit?usp=sharing"",""พังงา!J311"")"),30)</f>
        <v>30</v>
      </c>
      <c r="K416" s="208">
        <f t="shared" ref="K416:K432" ca="1" si="113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IFERROR(__xludf.DUMMYFUNCTION("IMPORTRANGE(""https://docs.google.com/spreadsheets/d/1IYY_tgx_IHuhSq3AJ5eI5OnqOPBNLWSHKh2a30DoXe8/edit?usp=sharing"",""พังงา!I312"")"),10)</f>
        <v>10</v>
      </c>
      <c r="J417" s="398">
        <f ca="1">IFERROR(__xludf.DUMMYFUNCTION("IMPORTRANGE(""https://docs.google.com/spreadsheets/d/1IYY_tgx_IHuhSq3AJ5eI5OnqOPBNLWSHKh2a30DoXe8/edit?usp=sharing"",""พังงา!J312"")"),10)</f>
        <v>10</v>
      </c>
      <c r="K417" s="208">
        <f t="shared" ca="1" si="113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IFERROR(__xludf.DUMMYFUNCTION("IMPORTRANGE(""https://docs.google.com/spreadsheets/d/1IYY_tgx_IHuhSq3AJ5eI5OnqOPBNLWSHKh2a30DoXe8/edit?usp=sharing"",""พังงา!I313"")"),30)</f>
        <v>30</v>
      </c>
      <c r="J418" s="399">
        <f ca="1">IFERROR(__xludf.DUMMYFUNCTION("IMPORTRANGE(""https://docs.google.com/spreadsheets/d/1IYY_tgx_IHuhSq3AJ5eI5OnqOPBNLWSHKh2a30DoXe8/edit?usp=sharing"",""พังงา!J313"")"),30)</f>
        <v>30</v>
      </c>
      <c r="K418" s="208">
        <f t="shared" ca="1" si="113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IFERROR(__xludf.DUMMYFUNCTION("IMPORTRANGE(""https://docs.google.com/spreadsheets/d/1IYY_tgx_IHuhSq3AJ5eI5OnqOPBNLWSHKh2a30DoXe8/edit?usp=sharing"",""พังงา!I314"")"),10)</f>
        <v>10</v>
      </c>
      <c r="J419" s="400">
        <f ca="1">IFERROR(__xludf.DUMMYFUNCTION("IMPORTRANGE(""https://docs.google.com/spreadsheets/d/1IYY_tgx_IHuhSq3AJ5eI5OnqOPBNLWSHKh2a30DoXe8/edit?usp=sharing"",""พังงา!J314"")"),10)</f>
        <v>10</v>
      </c>
      <c r="K419" s="167">
        <f t="shared" ca="1" si="113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IFERROR(__xludf.DUMMYFUNCTION("IMPORTRANGE(""https://docs.google.com/spreadsheets/d/1IYY_tgx_IHuhSq3AJ5eI5OnqOPBNLWSHKh2a30DoXe8/edit?usp=sharing"",""พังงา!I315"")"),10)</f>
        <v>10</v>
      </c>
      <c r="J420" s="400">
        <f ca="1">IFERROR(__xludf.DUMMYFUNCTION("IMPORTRANGE(""https://docs.google.com/spreadsheets/d/1IYY_tgx_IHuhSq3AJ5eI5OnqOPBNLWSHKh2a30DoXe8/edit?usp=sharing"",""พังงา!J315"")"),10)</f>
        <v>10</v>
      </c>
      <c r="K420" s="294">
        <f t="shared" ca="1" si="113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IFERROR(__xludf.DUMMYFUNCTION("IMPORTRANGE(""https://docs.google.com/spreadsheets/d/1IYY_tgx_IHuhSq3AJ5eI5OnqOPBNLWSHKh2a30DoXe8/edit?usp=sharing"",""พังงา!I316"")"),10)</f>
        <v>10</v>
      </c>
      <c r="J421" s="398">
        <f ca="1">IFERROR(__xludf.DUMMYFUNCTION("IMPORTRANGE(""https://docs.google.com/spreadsheets/d/1IYY_tgx_IHuhSq3AJ5eI5OnqOPBNLWSHKh2a30DoXe8/edit?usp=sharing"",""พังงา!J316"")"),10)</f>
        <v>10</v>
      </c>
      <c r="K421" s="208">
        <f t="shared" ca="1" si="113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IFERROR(__xludf.DUMMYFUNCTION("IMPORTRANGE(""https://docs.google.com/spreadsheets/d/1IYY_tgx_IHuhSq3AJ5eI5OnqOPBNLWSHKh2a30DoXe8/edit?usp=sharing"",""พังงา!I317"")"),30)</f>
        <v>30</v>
      </c>
      <c r="J422" s="399">
        <f ca="1">IFERROR(__xludf.DUMMYFUNCTION("IMPORTRANGE(""https://docs.google.com/spreadsheets/d/1IYY_tgx_IHuhSq3AJ5eI5OnqOPBNLWSHKh2a30DoXe8/edit?usp=sharing"",""พังงา!J317"")"),30)</f>
        <v>30</v>
      </c>
      <c r="K422" s="208">
        <f t="shared" ca="1" si="113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IFERROR(__xludf.DUMMYFUNCTION("IMPORTRANGE(""https://docs.google.com/spreadsheets/d/1IYY_tgx_IHuhSq3AJ5eI5OnqOPBNLWSHKh2a30DoXe8/edit?usp=sharing"",""พังงา!I318"")"),10)</f>
        <v>10</v>
      </c>
      <c r="J423" s="400">
        <f ca="1">IFERROR(__xludf.DUMMYFUNCTION("IMPORTRANGE(""https://docs.google.com/spreadsheets/d/1IYY_tgx_IHuhSq3AJ5eI5OnqOPBNLWSHKh2a30DoXe8/edit?usp=sharing"",""พังงา!J318"")"),10)</f>
        <v>10</v>
      </c>
      <c r="K423" s="167">
        <f t="shared" ca="1" si="113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IFERROR(__xludf.DUMMYFUNCTION("IMPORTRANGE(""https://docs.google.com/spreadsheets/d/1IYY_tgx_IHuhSq3AJ5eI5OnqOPBNLWSHKh2a30DoXe8/edit?usp=sharing"",""พังงา!I319"")"),10)</f>
        <v>10</v>
      </c>
      <c r="J424" s="400">
        <f ca="1">IFERROR(__xludf.DUMMYFUNCTION("IMPORTRANGE(""https://docs.google.com/spreadsheets/d/1IYY_tgx_IHuhSq3AJ5eI5OnqOPBNLWSHKh2a30DoXe8/edit?usp=sharing"",""พังงา!J319"")"),10)</f>
        <v>10</v>
      </c>
      <c r="K424" s="167">
        <f t="shared" ca="1" si="113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IFERROR(__xludf.DUMMYFUNCTION("IMPORTRANGE(""https://docs.google.com/spreadsheets/d/1IYY_tgx_IHuhSq3AJ5eI5OnqOPBNLWSHKh2a30DoXe8/edit?usp=sharing"",""พังงา!I320"")"),10)</f>
        <v>10</v>
      </c>
      <c r="J425" s="400">
        <f ca="1">IFERROR(__xludf.DUMMYFUNCTION("IMPORTRANGE(""https://docs.google.com/spreadsheets/d/1IYY_tgx_IHuhSq3AJ5eI5OnqOPBNLWSHKh2a30DoXe8/edit?usp=sharing"",""พังงา!J320"")"),10)</f>
        <v>10</v>
      </c>
      <c r="K425" s="167">
        <f t="shared" ca="1" si="113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IFERROR(__xludf.DUMMYFUNCTION("IMPORTRANGE(""https://docs.google.com/spreadsheets/d/1IYY_tgx_IHuhSq3AJ5eI5OnqOPBNLWSHKh2a30DoXe8/edit?usp=sharing"",""พังงา!I321"")"),10)</f>
        <v>10</v>
      </c>
      <c r="J426" s="398">
        <f ca="1">IFERROR(__xludf.DUMMYFUNCTION("IMPORTRANGE(""https://docs.google.com/spreadsheets/d/1IYY_tgx_IHuhSq3AJ5eI5OnqOPBNLWSHKh2a30DoXe8/edit?usp=sharing"",""พังงา!J321"")"),10)</f>
        <v>10</v>
      </c>
      <c r="K426" s="208">
        <f t="shared" ca="1" si="113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IFERROR(__xludf.DUMMYFUNCTION("IMPORTRANGE(""https://docs.google.com/spreadsheets/d/1IYY_tgx_IHuhSq3AJ5eI5OnqOPBNLWSHKh2a30DoXe8/edit?usp=sharing"",""พังงา!I322"")"),30)</f>
        <v>30</v>
      </c>
      <c r="J427" s="399">
        <f ca="1">IFERROR(__xludf.DUMMYFUNCTION("IMPORTRANGE(""https://docs.google.com/spreadsheets/d/1IYY_tgx_IHuhSq3AJ5eI5OnqOPBNLWSHKh2a30DoXe8/edit?usp=sharing"",""พังงา!J322"")"),30)</f>
        <v>30</v>
      </c>
      <c r="K427" s="208">
        <f t="shared" ca="1" si="113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IFERROR(__xludf.DUMMYFUNCTION("IMPORTRANGE(""https://docs.google.com/spreadsheets/d/1IYY_tgx_IHuhSq3AJ5eI5OnqOPBNLWSHKh2a30DoXe8/edit?usp=sharing"",""พังงา!I323"")"),10)</f>
        <v>10</v>
      </c>
      <c r="J428" s="400">
        <f ca="1">IFERROR(__xludf.DUMMYFUNCTION("IMPORTRANGE(""https://docs.google.com/spreadsheets/d/1IYY_tgx_IHuhSq3AJ5eI5OnqOPBNLWSHKh2a30DoXe8/edit?usp=sharing"",""พังงา!J323"")"),10)</f>
        <v>10</v>
      </c>
      <c r="K428" s="167">
        <f t="shared" ca="1" si="113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IFERROR(__xludf.DUMMYFUNCTION("IMPORTRANGE(""https://docs.google.com/spreadsheets/d/1IYY_tgx_IHuhSq3AJ5eI5OnqOPBNLWSHKh2a30DoXe8/edit?usp=sharing"",""พังงา!I324"")"),10)</f>
        <v>10</v>
      </c>
      <c r="J429" s="400">
        <f ca="1">IFERROR(__xludf.DUMMYFUNCTION("IMPORTRANGE(""https://docs.google.com/spreadsheets/d/1IYY_tgx_IHuhSq3AJ5eI5OnqOPBNLWSHKh2a30DoXe8/edit?usp=sharing"",""พังงา!J324"")"),10)</f>
        <v>10</v>
      </c>
      <c r="K429" s="167">
        <f t="shared" ca="1" si="113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IFERROR(__xludf.DUMMYFUNCTION("IMPORTRANGE(""https://docs.google.com/spreadsheets/d/1IYY_tgx_IHuhSq3AJ5eI5OnqOPBNLWSHKh2a30DoXe8/edit?usp=sharing"",""พังงา!I325"")"),20)</f>
        <v>20</v>
      </c>
      <c r="J430" s="398">
        <f ca="1">IFERROR(__xludf.DUMMYFUNCTION("IMPORTRANGE(""https://docs.google.com/spreadsheets/d/1IYY_tgx_IHuhSq3AJ5eI5OnqOPBNLWSHKh2a30DoXe8/edit?usp=sharing"",""พังงา!J325"")"),0)</f>
        <v>0</v>
      </c>
      <c r="K430" s="208">
        <f t="shared" ca="1" si="113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IFERROR(__xludf.DUMMYFUNCTION("IMPORTRANGE(""https://docs.google.com/spreadsheets/d/1IYY_tgx_IHuhSq3AJ5eI5OnqOPBNLWSHKh2a30DoXe8/edit?usp=sharing"",""พังงา!I326"")"),10)</f>
        <v>10</v>
      </c>
      <c r="J431" s="400">
        <f ca="1">IFERROR(__xludf.DUMMYFUNCTION("IMPORTRANGE(""https://docs.google.com/spreadsheets/d/1IYY_tgx_IHuhSq3AJ5eI5OnqOPBNLWSHKh2a30DoXe8/edit?usp=sharing"",""พังงา!J326"")"),0)</f>
        <v>0</v>
      </c>
      <c r="K431" s="167">
        <f t="shared" ca="1" si="113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IFERROR(__xludf.DUMMYFUNCTION("IMPORTRANGE(""https://docs.google.com/spreadsheets/d/1IYY_tgx_IHuhSq3AJ5eI5OnqOPBNLWSHKh2a30DoXe8/edit?usp=sharing"",""พังงา!I327"")"),10)</f>
        <v>10</v>
      </c>
      <c r="J432" s="400">
        <f ca="1">IFERROR(__xludf.DUMMYFUNCTION("IMPORTRANGE(""https://docs.google.com/spreadsheets/d/1IYY_tgx_IHuhSq3AJ5eI5OnqOPBNLWSHKh2a30DoXe8/edit?usp=sharing"",""พังงา!J327"")"),0)</f>
        <v>0</v>
      </c>
      <c r="K432" s="167">
        <f t="shared" ca="1" si="113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IFERROR(__xludf.DUMMYFUNCTION("IMPORTRANGE(""https://docs.google.com/spreadsheets/d/1IYY_tgx_IHuhSq3AJ5eI5OnqOPBNLWSHKh2a30DoXe8/edit?usp=sharing"",""พังงา!J328"")"),0)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IFERROR(__xludf.DUMMYFUNCTION("IMPORTRANGE(""https://docs.google.com/spreadsheets/d/1IYY_tgx_IHuhSq3AJ5eI5OnqOPBNLWSHKh2a30DoXe8/edit?usp=sharing"",""พังงา!J329"")"),0)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IFERROR(__xludf.DUMMYFUNCTION("IMPORTRANGE(""https://docs.google.com/spreadsheets/d/1IYY_tgx_IHuhSq3AJ5eI5OnqOPBNLWSHKh2a30DoXe8/edit?usp=sharing"",""พังงา!I330"")"),15)</f>
        <v>15</v>
      </c>
      <c r="J435" s="416">
        <f ca="1">IFERROR(__xludf.DUMMYFUNCTION("IMPORTRANGE(""https://docs.google.com/spreadsheets/d/1IYY_tgx_IHuhSq3AJ5eI5OnqOPBNLWSHKh2a30DoXe8/edit?usp=sharing"",""พังงา!J330"")"),15)</f>
        <v>15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IFERROR(__xludf.DUMMYFUNCTION("IMPORTRANGE(""https://docs.google.com/spreadsheets/d/1IYY_tgx_IHuhSq3AJ5eI5OnqOPBNLWSHKh2a30DoXe8/edit?usp=sharing"",""พังงา!L330"")"),88000)</f>
        <v>88000</v>
      </c>
      <c r="M435" s="418"/>
      <c r="N435" s="418">
        <f ca="1">IFERROR(__xludf.DUMMYFUNCTION("IMPORTRANGE(""https://docs.google.com/spreadsheets/d/1IYY_tgx_IHuhSq3AJ5eI5OnqOPBNLWSHKh2a30DoXe8/edit?usp=sharing"",""พังงา!M330"")"),23140)</f>
        <v>23140</v>
      </c>
      <c r="O435" s="418">
        <f t="shared" ref="O435:O439" ca="1" si="114">+IF(L435&gt;0,N435*100/L435,0)</f>
        <v>26.295454545454547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IFERROR(__xludf.DUMMYFUNCTION("IMPORTRANGE(""https://docs.google.com/spreadsheets/d/1IYY_tgx_IHuhSq3AJ5eI5OnqOPBNLWSHKh2a30DoXe8/edit?usp=sharing"",""พังงา!L331"")"),0)</f>
        <v>0</v>
      </c>
      <c r="M436" s="168"/>
      <c r="N436" s="175">
        <f ca="1">IFERROR(__xludf.DUMMYFUNCTION("IMPORTRANGE(""https://docs.google.com/spreadsheets/d/1IYY_tgx_IHuhSq3AJ5eI5OnqOPBNLWSHKh2a30DoXe8/edit?usp=sharing"",""พังงา!M331"")"),0)</f>
        <v>0</v>
      </c>
      <c r="O436" s="175">
        <f t="shared" ca="1" si="114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164" t="s">
        <v>40</v>
      </c>
      <c r="H437" s="165" t="s">
        <v>12</v>
      </c>
      <c r="I437" s="166"/>
      <c r="J437" s="166"/>
      <c r="K437" s="167"/>
      <c r="L437" s="169">
        <f ca="1">IFERROR(__xludf.DUMMYFUNCTION("IMPORTRANGE(""https://docs.google.com/spreadsheets/d/1IYY_tgx_IHuhSq3AJ5eI5OnqOPBNLWSHKh2a30DoXe8/edit?usp=sharing"",""พังงา!L332"")"),88000)</f>
        <v>88000</v>
      </c>
      <c r="M437" s="169"/>
      <c r="N437" s="175">
        <f ca="1">IFERROR(__xludf.DUMMYFUNCTION("IMPORTRANGE(""https://docs.google.com/spreadsheets/d/1IYY_tgx_IHuhSq3AJ5eI5OnqOPBNLWSHKh2a30DoXe8/edit?usp=sharing"",""พังงา!M332"")"),23140)</f>
        <v>23140</v>
      </c>
      <c r="O437" s="175">
        <f t="shared" ca="1" si="114"/>
        <v>26.295454545454547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IFERROR(__xludf.DUMMYFUNCTION("IMPORTRANGE(""https://docs.google.com/spreadsheets/d/1IYY_tgx_IHuhSq3AJ5eI5OnqOPBNLWSHKh2a30DoXe8/edit?usp=sharing"",""พังงา!L333"")"),0)</f>
        <v>0</v>
      </c>
      <c r="M438" s="175"/>
      <c r="N438" s="175">
        <f ca="1">IFERROR(__xludf.DUMMYFUNCTION("IMPORTRANGE(""https://docs.google.com/spreadsheets/d/1IYY_tgx_IHuhSq3AJ5eI5OnqOPBNLWSHKh2a30DoXe8/edit?usp=sharing"",""พังงา!M333"")"),0)</f>
        <v>0</v>
      </c>
      <c r="O438" s="175">
        <f t="shared" ca="1" si="114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IFERROR(__xludf.DUMMYFUNCTION("IMPORTRANGE(""https://docs.google.com/spreadsheets/d/1IYY_tgx_IHuhSq3AJ5eI5OnqOPBNLWSHKh2a30DoXe8/edit?usp=sharing"",""พังงา!L334"")"),88000)</f>
        <v>88000</v>
      </c>
      <c r="M439" s="175"/>
      <c r="N439" s="175">
        <f ca="1">IFERROR(__xludf.DUMMYFUNCTION("IMPORTRANGE(""https://docs.google.com/spreadsheets/d/1IYY_tgx_IHuhSq3AJ5eI5OnqOPBNLWSHKh2a30DoXe8/edit?usp=sharing"",""พังงา!M334"")"),23140)</f>
        <v>23140</v>
      </c>
      <c r="O439" s="175">
        <f t="shared" ca="1" si="114"/>
        <v>26.295454545454547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IFERROR(__xludf.DUMMYFUNCTION("IMPORTRANGE(""https://docs.google.com/spreadsheets/d/1IYY_tgx_IHuhSq3AJ5eI5OnqOPBNLWSHKh2a30DoXe8/edit?usp=sharing"",""พังงา!M335"")"),10560)</f>
        <v>10560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IFERROR(__xludf.DUMMYFUNCTION("IMPORTRANGE(""https://docs.google.com/spreadsheets/d/1IYY_tgx_IHuhSq3AJ5eI5OnqOPBNLWSHKh2a30DoXe8/edit?usp=sharing"",""พังงา!M336"")"),0)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IFERROR(__xludf.DUMMYFUNCTION("IMPORTRANGE(""https://docs.google.com/spreadsheets/d/1IYY_tgx_IHuhSq3AJ5eI5OnqOPBNLWSHKh2a30DoXe8/edit?usp=sharing"",""พังงา!M337"")"),0)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IFERROR(__xludf.DUMMYFUNCTION("IMPORTRANGE(""https://docs.google.com/spreadsheets/d/1IYY_tgx_IHuhSq3AJ5eI5OnqOPBNLWSHKh2a30DoXe8/edit?usp=sharing"",""พังงา!M338"")"),12580)</f>
        <v>12580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IFERROR(__xludf.DUMMYFUNCTION("IMPORTRANGE(""https://docs.google.com/spreadsheets/d/1IYY_tgx_IHuhSq3AJ5eI5OnqOPBNLWSHKh2a30DoXe8/edit?usp=sharing"",""พังงา!J340"")"),0)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IFERROR(__xludf.DUMMYFUNCTION("IMPORTRANGE(""https://docs.google.com/spreadsheets/d/1IYY_tgx_IHuhSq3AJ5eI5OnqOPBNLWSHKh2a30DoXe8/edit?usp=sharing"",""พังงา!J341"")"),1)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IFERROR(__xludf.DUMMYFUNCTION("IMPORTRANGE(""https://docs.google.com/spreadsheets/d/1IYY_tgx_IHuhSq3AJ5eI5OnqOPBNLWSHKh2a30DoXe8/edit?usp=sharing"",""พังงา!J342"")"),1)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IFERROR(__xludf.DUMMYFUNCTION("IMPORTRANGE(""https://docs.google.com/spreadsheets/d/1IYY_tgx_IHuhSq3AJ5eI5OnqOPBNLWSHKh2a30DoXe8/edit?usp=sharing"",""พังงา!J343"")"),1)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IFERROR(__xludf.DUMMYFUNCTION("IMPORTRANGE(""https://docs.google.com/spreadsheets/d/1IYY_tgx_IHuhSq3AJ5eI5OnqOPBNLWSHKh2a30DoXe8/edit?usp=sharing"",""พังงา!I344"")"),15)</f>
        <v>15</v>
      </c>
      <c r="J449" s="207">
        <f ca="1">IFERROR(__xludf.DUMMYFUNCTION("IMPORTRANGE(""https://docs.google.com/spreadsheets/d/1IYY_tgx_IHuhSq3AJ5eI5OnqOPBNLWSHKh2a30DoXe8/edit?usp=sharing"",""พังงา!J344"")"),15)</f>
        <v>15</v>
      </c>
      <c r="K449" s="167">
        <f t="shared" ref="K449:K452" ca="1" si="115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IFERROR(__xludf.DUMMYFUNCTION("IMPORTRANGE(""https://docs.google.com/spreadsheets/d/1IYY_tgx_IHuhSq3AJ5eI5OnqOPBNLWSHKh2a30DoXe8/edit?usp=sharing"",""พังงา!I345"")"),15)</f>
        <v>15</v>
      </c>
      <c r="J450" s="195">
        <f ca="1">IFERROR(__xludf.DUMMYFUNCTION("IMPORTRANGE(""https://docs.google.com/spreadsheets/d/1IYY_tgx_IHuhSq3AJ5eI5OnqOPBNLWSHKh2a30DoXe8/edit?usp=sharing"",""พังงา!J345"")"),15)</f>
        <v>15</v>
      </c>
      <c r="K450" s="167">
        <f t="shared" ca="1" si="115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IFERROR(__xludf.DUMMYFUNCTION("IMPORTRANGE(""https://docs.google.com/spreadsheets/d/1IYY_tgx_IHuhSq3AJ5eI5OnqOPBNLWSHKh2a30DoXe8/edit?usp=sharing"",""พังงา!I346"")"),0)</f>
        <v>0</v>
      </c>
      <c r="J451" s="194">
        <f ca="1">IFERROR(__xludf.DUMMYFUNCTION("IMPORTRANGE(""https://docs.google.com/spreadsheets/d/1IYY_tgx_IHuhSq3AJ5eI5OnqOPBNLWSHKh2a30DoXe8/edit?usp=sharing"",""พังงา!J346"")"),0)</f>
        <v>0</v>
      </c>
      <c r="K451" s="167">
        <f t="shared" ca="1" si="115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IFERROR(__xludf.DUMMYFUNCTION("IMPORTRANGE(""https://docs.google.com/spreadsheets/d/1IYY_tgx_IHuhSq3AJ5eI5OnqOPBNLWSHKh2a30DoXe8/edit?usp=sharing"",""พังงา!I347"")"),0)</f>
        <v>0</v>
      </c>
      <c r="J452" s="194">
        <f ca="1">IFERROR(__xludf.DUMMYFUNCTION("IMPORTRANGE(""https://docs.google.com/spreadsheets/d/1IYY_tgx_IHuhSq3AJ5eI5OnqOPBNLWSHKh2a30DoXe8/edit?usp=sharing"",""พังงา!J347"")"),0)</f>
        <v>0</v>
      </c>
      <c r="K452" s="167">
        <f t="shared" ca="1" si="115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IFERROR(__xludf.DUMMYFUNCTION("IMPORTRANGE(""https://docs.google.com/spreadsheets/d/1IYY_tgx_IHuhSq3AJ5eI5OnqOPBNLWSHKh2a30DoXe8/edit?usp=sharing"",""พังงา!J348"")"),0)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IFERROR(__xludf.DUMMYFUNCTION("IMPORTRANGE(""https://docs.google.com/spreadsheets/d/1IYY_tgx_IHuhSq3AJ5eI5OnqOPBNLWSHKh2a30DoXe8/edit?usp=sharing"",""พังงา!J349"")"),0)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IFERROR(__xludf.DUMMYFUNCTION("IMPORTRANGE(""https://docs.google.com/spreadsheets/d/1IYY_tgx_IHuhSq3AJ5eI5OnqOPBNLWSHKh2a30DoXe8/edit?usp=sharing"",""พังงา!I350"")"),20879)</f>
        <v>20879</v>
      </c>
      <c r="J455" s="377">
        <f ca="1">IFERROR(__xludf.DUMMYFUNCTION("IMPORTRANGE(""https://docs.google.com/spreadsheets/d/1IYY_tgx_IHuhSq3AJ5eI5OnqOPBNLWSHKh2a30DoXe8/edit?usp=sharing"",""พังงา!J350"")"),2.11)</f>
        <v>2.11</v>
      </c>
      <c r="K455" s="378">
        <f ca="1">IF(I455&gt;0,J455*100/I455,0)</f>
        <v>1.0105847981225154E-2</v>
      </c>
      <c r="L455" s="379">
        <f ca="1">IFERROR(__xludf.DUMMYFUNCTION("IMPORTRANGE(""https://docs.google.com/spreadsheets/d/1IYY_tgx_IHuhSq3AJ5eI5OnqOPBNLWSHKh2a30DoXe8/edit?usp=sharing"",""พังงา!L350"")"),164222.02)</f>
        <v>164222.01999999999</v>
      </c>
      <c r="M455" s="379"/>
      <c r="N455" s="379">
        <f ca="1">IFERROR(__xludf.DUMMYFUNCTION("IMPORTRANGE(""https://docs.google.com/spreadsheets/d/1IYY_tgx_IHuhSq3AJ5eI5OnqOPBNLWSHKh2a30DoXe8/edit?usp=sharing"",""พังงา!M350"")"),11520)</f>
        <v>11520</v>
      </c>
      <c r="O455" s="379">
        <f t="shared" ref="O455:O459" ca="1" si="116">+IF(L455&gt;0,N455*100/L455,0)</f>
        <v>7.014893617798637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IFERROR(__xludf.DUMMYFUNCTION("IMPORTRANGE(""https://docs.google.com/spreadsheets/d/1IYY_tgx_IHuhSq3AJ5eI5OnqOPBNLWSHKh2a30DoXe8/edit?usp=sharing"",""พังงา!L351"")"),0)</f>
        <v>0</v>
      </c>
      <c r="M456" s="168"/>
      <c r="N456" s="175">
        <f ca="1">IFERROR(__xludf.DUMMYFUNCTION("IMPORTRANGE(""https://docs.google.com/spreadsheets/d/1IYY_tgx_IHuhSq3AJ5eI5OnqOPBNLWSHKh2a30DoXe8/edit?usp=sharing"",""พังงา!M351"")"),0)</f>
        <v>0</v>
      </c>
      <c r="O456" s="175">
        <f t="shared" ca="1" si="116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IFERROR(__xludf.DUMMYFUNCTION("IMPORTRANGE(""https://docs.google.com/spreadsheets/d/1IYY_tgx_IHuhSq3AJ5eI5OnqOPBNLWSHKh2a30DoXe8/edit?usp=sharing"",""พังงา!L352"")"),164222.02)</f>
        <v>164222.01999999999</v>
      </c>
      <c r="M457" s="169"/>
      <c r="N457" s="175">
        <f ca="1">IFERROR(__xludf.DUMMYFUNCTION("IMPORTRANGE(""https://docs.google.com/spreadsheets/d/1IYY_tgx_IHuhSq3AJ5eI5OnqOPBNLWSHKh2a30DoXe8/edit?usp=sharing"",""พังงา!M352"")"),11520)</f>
        <v>11520</v>
      </c>
      <c r="O457" s="175">
        <f t="shared" ca="1" si="116"/>
        <v>7.014893617798637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IFERROR(__xludf.DUMMYFUNCTION("IMPORTRANGE(""https://docs.google.com/spreadsheets/d/1IYY_tgx_IHuhSq3AJ5eI5OnqOPBNLWSHKh2a30DoXe8/edit?usp=sharing"",""พังงา!L353"")"),0)</f>
        <v>0</v>
      </c>
      <c r="M458" s="175"/>
      <c r="N458" s="175">
        <f ca="1">IFERROR(__xludf.DUMMYFUNCTION("IMPORTRANGE(""https://docs.google.com/spreadsheets/d/1IYY_tgx_IHuhSq3AJ5eI5OnqOPBNLWSHKh2a30DoXe8/edit?usp=sharing"",""พังงา!M353"")"),0)</f>
        <v>0</v>
      </c>
      <c r="O458" s="175">
        <f t="shared" ca="1" si="116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IFERROR(__xludf.DUMMYFUNCTION("IMPORTRANGE(""https://docs.google.com/spreadsheets/d/1IYY_tgx_IHuhSq3AJ5eI5OnqOPBNLWSHKh2a30DoXe8/edit?usp=sharing"",""พังงา!L354"")"),164222.02)</f>
        <v>164222.01999999999</v>
      </c>
      <c r="M459" s="175"/>
      <c r="N459" s="175">
        <f ca="1">IFERROR(__xludf.DUMMYFUNCTION("IMPORTRANGE(""https://docs.google.com/spreadsheets/d/1IYY_tgx_IHuhSq3AJ5eI5OnqOPBNLWSHKh2a30DoXe8/edit?usp=sharing"",""พังงา!M354"")"),11520)</f>
        <v>11520</v>
      </c>
      <c r="O459" s="175">
        <f t="shared" ca="1" si="116"/>
        <v>7.014893617798637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IFERROR(__xludf.DUMMYFUNCTION("IMPORTRANGE(""https://docs.google.com/spreadsheets/d/1IYY_tgx_IHuhSq3AJ5eI5OnqOPBNLWSHKh2a30DoXe8/edit?usp=sharing"",""พังงา!M355"")"),0)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IFERROR(__xludf.DUMMYFUNCTION("IMPORTRANGE(""https://docs.google.com/spreadsheets/d/1IYY_tgx_IHuhSq3AJ5eI5OnqOPBNLWSHKh2a30DoXe8/edit?usp=sharing"",""พังงา!M356"")"),0)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IFERROR(__xludf.DUMMYFUNCTION("IMPORTRANGE(""https://docs.google.com/spreadsheets/d/1IYY_tgx_IHuhSq3AJ5eI5OnqOPBNLWSHKh2a30DoXe8/edit?usp=sharing"",""พังงา!M357"")"),0)</f>
        <v>0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IFERROR(__xludf.DUMMYFUNCTION("IMPORTRANGE(""https://docs.google.com/spreadsheets/d/1IYY_tgx_IHuhSq3AJ5eI5OnqOPBNLWSHKh2a30DoXe8/edit?usp=sharing"",""พังงา!M358"")"),11520)</f>
        <v>11520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IFERROR(__xludf.DUMMYFUNCTION("IMPORTRANGE(""https://docs.google.com/spreadsheets/d/1IYY_tgx_IHuhSq3AJ5eI5OnqOPBNLWSHKh2a30DoXe8/edit?usp=sharing"",""พังงา!I359"")"),20879)</f>
        <v>20879</v>
      </c>
      <c r="J464" s="273">
        <f ca="1">IFERROR(__xludf.DUMMYFUNCTION("IMPORTRANGE(""https://docs.google.com/spreadsheets/d/1IYY_tgx_IHuhSq3AJ5eI5OnqOPBNLWSHKh2a30DoXe8/edit?usp=sharing"",""พังงา!J359"")"),2.11)</f>
        <v>2.11</v>
      </c>
      <c r="K464" s="274">
        <f t="shared" ref="K464:K515" ca="1" si="117">IF(I464&gt;0,J464*100/I464,0)</f>
        <v>1.0105847981225154E-2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IFERROR(__xludf.DUMMYFUNCTION("IMPORTRANGE(""https://docs.google.com/spreadsheets/d/1IYY_tgx_IHuhSq3AJ5eI5OnqOPBNLWSHKh2a30DoXe8/edit?usp=sharing"",""พังงา!I360"")"),20879)</f>
        <v>20879</v>
      </c>
      <c r="J465" s="426">
        <f ca="1">IFERROR(__xludf.DUMMYFUNCTION("IMPORTRANGE(""https://docs.google.com/spreadsheets/d/1IYY_tgx_IHuhSq3AJ5eI5OnqOPBNLWSHKh2a30DoXe8/edit?usp=sharing"",""พังงา!J360"")"),20879.33)</f>
        <v>20879.330000000002</v>
      </c>
      <c r="K465" s="208">
        <f t="shared" ca="1" si="117"/>
        <v>100.00158053546627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IFERROR(__xludf.DUMMYFUNCTION("IMPORTRANGE(""https://docs.google.com/spreadsheets/d/1IYY_tgx_IHuhSq3AJ5eI5OnqOPBNLWSHKh2a30DoXe8/edit?usp=sharing"",""พังงา!I361"")"),2093)</f>
        <v>2093</v>
      </c>
      <c r="J466" s="426">
        <f ca="1">IFERROR(__xludf.DUMMYFUNCTION("IMPORTRANGE(""https://docs.google.com/spreadsheets/d/1IYY_tgx_IHuhSq3AJ5eI5OnqOPBNLWSHKh2a30DoXe8/edit?usp=sharing"",""พังงา!J361"")"),2093)</f>
        <v>2093</v>
      </c>
      <c r="K466" s="208">
        <f t="shared" ca="1" si="117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IFERROR(__xludf.DUMMYFUNCTION("IMPORTRANGE(""https://docs.google.com/spreadsheets/d/1IYY_tgx_IHuhSq3AJ5eI5OnqOPBNLWSHKh2a30DoXe8/edit?usp=sharing"",""พังงา!I362"")"),0)</f>
        <v>0</v>
      </c>
      <c r="J467" s="195">
        <f ca="1">IFERROR(__xludf.DUMMYFUNCTION("IMPORTRANGE(""https://docs.google.com/spreadsheets/d/1IYY_tgx_IHuhSq3AJ5eI5OnqOPBNLWSHKh2a30DoXe8/edit?usp=sharing"",""พังงา!J362"")"),19998.83)</f>
        <v>19998.830000000002</v>
      </c>
      <c r="K467" s="167">
        <f t="shared" ca="1" si="117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IFERROR(__xludf.DUMMYFUNCTION("IMPORTRANGE(""https://docs.google.com/spreadsheets/d/1IYY_tgx_IHuhSq3AJ5eI5OnqOPBNLWSHKh2a30DoXe8/edit?usp=sharing"",""พังงา!I363"")"),0)</f>
        <v>0</v>
      </c>
      <c r="J468" s="195">
        <f ca="1">IFERROR(__xludf.DUMMYFUNCTION("IMPORTRANGE(""https://docs.google.com/spreadsheets/d/1IYY_tgx_IHuhSq3AJ5eI5OnqOPBNLWSHKh2a30DoXe8/edit?usp=sharing"",""พังงา!J363"")"),1988)</f>
        <v>1988</v>
      </c>
      <c r="K468" s="167">
        <f t="shared" ca="1" si="117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IFERROR(__xludf.DUMMYFUNCTION("IMPORTRANGE(""https://docs.google.com/spreadsheets/d/1IYY_tgx_IHuhSq3AJ5eI5OnqOPBNLWSHKh2a30DoXe8/edit?usp=sharing"",""พังงา!I364"")"),0)</f>
        <v>0</v>
      </c>
      <c r="J469" s="195">
        <f ca="1">IFERROR(__xludf.DUMMYFUNCTION("IMPORTRANGE(""https://docs.google.com/spreadsheets/d/1IYY_tgx_IHuhSq3AJ5eI5OnqOPBNLWSHKh2a30DoXe8/edit?usp=sharing"",""พังงา!J364"")"),539.73)</f>
        <v>539.73</v>
      </c>
      <c r="K469" s="167">
        <f t="shared" ca="1" si="117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IFERROR(__xludf.DUMMYFUNCTION("IMPORTRANGE(""https://docs.google.com/spreadsheets/d/1IYY_tgx_IHuhSq3AJ5eI5OnqOPBNLWSHKh2a30DoXe8/edit?usp=sharing"",""พังงา!I365"")"),0)</f>
        <v>0</v>
      </c>
      <c r="J470" s="195">
        <f ca="1">IFERROR(__xludf.DUMMYFUNCTION("IMPORTRANGE(""https://docs.google.com/spreadsheets/d/1IYY_tgx_IHuhSq3AJ5eI5OnqOPBNLWSHKh2a30DoXe8/edit?usp=sharing"",""พังงา!J365"")"),57)</f>
        <v>57</v>
      </c>
      <c r="K470" s="167">
        <f t="shared" ca="1" si="117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IFERROR(__xludf.DUMMYFUNCTION("IMPORTRANGE(""https://docs.google.com/spreadsheets/d/1IYY_tgx_IHuhSq3AJ5eI5OnqOPBNLWSHKh2a30DoXe8/edit?usp=sharing"",""พังงา!I366"")"),0)</f>
        <v>0</v>
      </c>
      <c r="J471" s="195">
        <f ca="1">IFERROR(__xludf.DUMMYFUNCTION("IMPORTRANGE(""https://docs.google.com/spreadsheets/d/1IYY_tgx_IHuhSq3AJ5eI5OnqOPBNLWSHKh2a30DoXe8/edit?usp=sharing"",""พังงา!J366"")"),340.77)</f>
        <v>340.77</v>
      </c>
      <c r="K471" s="167">
        <f t="shared" ca="1" si="117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IFERROR(__xludf.DUMMYFUNCTION("IMPORTRANGE(""https://docs.google.com/spreadsheets/d/1IYY_tgx_IHuhSq3AJ5eI5OnqOPBNLWSHKh2a30DoXe8/edit?usp=sharing"",""พังงา!I367"")"),0)</f>
        <v>0</v>
      </c>
      <c r="J472" s="195">
        <f ca="1">IFERROR(__xludf.DUMMYFUNCTION("IMPORTRANGE(""https://docs.google.com/spreadsheets/d/1IYY_tgx_IHuhSq3AJ5eI5OnqOPBNLWSHKh2a30DoXe8/edit?usp=sharing"",""พังงา!J367"")"),48)</f>
        <v>48</v>
      </c>
      <c r="K472" s="167">
        <f t="shared" ca="1" si="117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IFERROR(__xludf.DUMMYFUNCTION("IMPORTRANGE(""https://docs.google.com/spreadsheets/d/1IYY_tgx_IHuhSq3AJ5eI5OnqOPBNLWSHKh2a30DoXe8/edit?usp=sharing"",""พังงา!I368"")"),20879)</f>
        <v>20879</v>
      </c>
      <c r="J473" s="426">
        <f ca="1">IFERROR(__xludf.DUMMYFUNCTION("IMPORTRANGE(""https://docs.google.com/spreadsheets/d/1IYY_tgx_IHuhSq3AJ5eI5OnqOPBNLWSHKh2a30DoXe8/edit?usp=sharing"",""พังงา!J368"")"),20877.59)</f>
        <v>20877.59</v>
      </c>
      <c r="K473" s="208">
        <f t="shared" ca="1" si="117"/>
        <v>99.993246803007807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IFERROR(__xludf.DUMMYFUNCTION("IMPORTRANGE(""https://docs.google.com/spreadsheets/d/1IYY_tgx_IHuhSq3AJ5eI5OnqOPBNLWSHKh2a30DoXe8/edit?usp=sharing"",""พังงา!I369"")"),2093)</f>
        <v>2093</v>
      </c>
      <c r="J474" s="426">
        <f ca="1">IFERROR(__xludf.DUMMYFUNCTION("IMPORTRANGE(""https://docs.google.com/spreadsheets/d/1IYY_tgx_IHuhSq3AJ5eI5OnqOPBNLWSHKh2a30DoXe8/edit?usp=sharing"",""พังงา!J369"")"),2092)</f>
        <v>2092</v>
      </c>
      <c r="K474" s="208">
        <f t="shared" ca="1" si="117"/>
        <v>99.952221691352122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IFERROR(__xludf.DUMMYFUNCTION("IMPORTRANGE(""https://docs.google.com/spreadsheets/d/1IYY_tgx_IHuhSq3AJ5eI5OnqOPBNLWSHKh2a30DoXe8/edit?usp=sharing"",""พังงา!I370"")"),0)</f>
        <v>0</v>
      </c>
      <c r="J475" s="195">
        <f ca="1">IFERROR(__xludf.DUMMYFUNCTION("IMPORTRANGE(""https://docs.google.com/spreadsheets/d/1IYY_tgx_IHuhSq3AJ5eI5OnqOPBNLWSHKh2a30DoXe8/edit?usp=sharing"",""พังงา!J370"")"),20185.72)</f>
        <v>20185.72</v>
      </c>
      <c r="K475" s="167">
        <f t="shared" ca="1" si="117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IFERROR(__xludf.DUMMYFUNCTION("IMPORTRANGE(""https://docs.google.com/spreadsheets/d/1IYY_tgx_IHuhSq3AJ5eI5OnqOPBNLWSHKh2a30DoXe8/edit?usp=sharing"",""พังงา!I371"")"),0)</f>
        <v>0</v>
      </c>
      <c r="J476" s="195">
        <f ca="1">IFERROR(__xludf.DUMMYFUNCTION("IMPORTRANGE(""https://docs.google.com/spreadsheets/d/1IYY_tgx_IHuhSq3AJ5eI5OnqOPBNLWSHKh2a30DoXe8/edit?usp=sharing"",""พังงา!J371"")"),1998)</f>
        <v>1998</v>
      </c>
      <c r="K476" s="167">
        <f t="shared" ca="1" si="117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IFERROR(__xludf.DUMMYFUNCTION("IMPORTRANGE(""https://docs.google.com/spreadsheets/d/1IYY_tgx_IHuhSq3AJ5eI5OnqOPBNLWSHKh2a30DoXe8/edit?usp=sharing"",""พังงา!I372"")"),0)</f>
        <v>0</v>
      </c>
      <c r="J477" s="195">
        <f ca="1">IFERROR(__xludf.DUMMYFUNCTION("IMPORTRANGE(""https://docs.google.com/spreadsheets/d/1IYY_tgx_IHuhSq3AJ5eI5OnqOPBNLWSHKh2a30DoXe8/edit?usp=sharing"",""พังงา!J372"")"),336)</f>
        <v>336</v>
      </c>
      <c r="K477" s="167">
        <f t="shared" ca="1" si="117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IFERROR(__xludf.DUMMYFUNCTION("IMPORTRANGE(""https://docs.google.com/spreadsheets/d/1IYY_tgx_IHuhSq3AJ5eI5OnqOPBNLWSHKh2a30DoXe8/edit?usp=sharing"",""พังงา!I373"")"),0)</f>
        <v>0</v>
      </c>
      <c r="J478" s="195">
        <f ca="1">IFERROR(__xludf.DUMMYFUNCTION("IMPORTRANGE(""https://docs.google.com/spreadsheets/d/1IYY_tgx_IHuhSq3AJ5eI5OnqOPBNLWSHKh2a30DoXe8/edit?usp=sharing"",""พังงา!J373"")"),41)</f>
        <v>41</v>
      </c>
      <c r="K478" s="167">
        <f t="shared" ca="1" si="117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IFERROR(__xludf.DUMMYFUNCTION("IMPORTRANGE(""https://docs.google.com/spreadsheets/d/1IYY_tgx_IHuhSq3AJ5eI5OnqOPBNLWSHKh2a30DoXe8/edit?usp=sharing"",""พังงา!I374"")"),0)</f>
        <v>0</v>
      </c>
      <c r="J479" s="195">
        <f ca="1">IFERROR(__xludf.DUMMYFUNCTION("IMPORTRANGE(""https://docs.google.com/spreadsheets/d/1IYY_tgx_IHuhSq3AJ5eI5OnqOPBNLWSHKh2a30DoXe8/edit?usp=sharing"",""พังงา!J374"")"),355.87)</f>
        <v>355.87</v>
      </c>
      <c r="K479" s="167">
        <f t="shared" ca="1" si="117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IFERROR(__xludf.DUMMYFUNCTION("IMPORTRANGE(""https://docs.google.com/spreadsheets/d/1IYY_tgx_IHuhSq3AJ5eI5OnqOPBNLWSHKh2a30DoXe8/edit?usp=sharing"",""พังงา!I375"")"),0)</f>
        <v>0</v>
      </c>
      <c r="J480" s="195">
        <f ca="1">IFERROR(__xludf.DUMMYFUNCTION("IMPORTRANGE(""https://docs.google.com/spreadsheets/d/1IYY_tgx_IHuhSq3AJ5eI5OnqOPBNLWSHKh2a30DoXe8/edit?usp=sharing"",""พังงา!J375"")"),53)</f>
        <v>53</v>
      </c>
      <c r="K480" s="167">
        <f t="shared" ca="1" si="117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IFERROR(__xludf.DUMMYFUNCTION("IMPORTRANGE(""https://docs.google.com/spreadsheets/d/1IYY_tgx_IHuhSq3AJ5eI5OnqOPBNLWSHKh2a30DoXe8/edit?usp=sharing"",""พังงา!I376"")"),20879)</f>
        <v>20879</v>
      </c>
      <c r="J481" s="426">
        <f ca="1">IFERROR(__xludf.DUMMYFUNCTION("IMPORTRANGE(""https://docs.google.com/spreadsheets/d/1IYY_tgx_IHuhSq3AJ5eI5OnqOPBNLWSHKh2a30DoXe8/edit?usp=sharing"",""พังงา!J376"")"),2.11)</f>
        <v>2.11</v>
      </c>
      <c r="K481" s="208">
        <f t="shared" ca="1" si="117"/>
        <v>1.0105847981225154E-2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IFERROR(__xludf.DUMMYFUNCTION("IMPORTRANGE(""https://docs.google.com/spreadsheets/d/1IYY_tgx_IHuhSq3AJ5eI5OnqOPBNLWSHKh2a30DoXe8/edit?usp=sharing"",""พังงา!I377"")"),2093)</f>
        <v>2093</v>
      </c>
      <c r="J482" s="426">
        <f ca="1">IFERROR(__xludf.DUMMYFUNCTION("IMPORTRANGE(""https://docs.google.com/spreadsheets/d/1IYY_tgx_IHuhSq3AJ5eI5OnqOPBNLWSHKh2a30DoXe8/edit?usp=sharing"",""พังงา!J377"")"),1)</f>
        <v>1</v>
      </c>
      <c r="K482" s="208">
        <f t="shared" ca="1" si="117"/>
        <v>4.7778308647873864E-2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IFERROR(__xludf.DUMMYFUNCTION("IMPORTRANGE(""https://docs.google.com/spreadsheets/d/1IYY_tgx_IHuhSq3AJ5eI5OnqOPBNLWSHKh2a30DoXe8/edit?usp=sharing"",""พังงา!I378"")"),0)</f>
        <v>0</v>
      </c>
      <c r="J483" s="195">
        <f ca="1">IFERROR(__xludf.DUMMYFUNCTION("IMPORTRANGE(""https://docs.google.com/spreadsheets/d/1IYY_tgx_IHuhSq3AJ5eI5OnqOPBNLWSHKh2a30DoXe8/edit?usp=sharing"",""พังงา!J378"")"),0)</f>
        <v>0</v>
      </c>
      <c r="K483" s="167">
        <f t="shared" ca="1" si="117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IFERROR(__xludf.DUMMYFUNCTION("IMPORTRANGE(""https://docs.google.com/spreadsheets/d/1IYY_tgx_IHuhSq3AJ5eI5OnqOPBNLWSHKh2a30DoXe8/edit?usp=sharing"",""พังงา!I379"")"),0)</f>
        <v>0</v>
      </c>
      <c r="J484" s="195">
        <f ca="1">IFERROR(__xludf.DUMMYFUNCTION("IMPORTRANGE(""https://docs.google.com/spreadsheets/d/1IYY_tgx_IHuhSq3AJ5eI5OnqOPBNLWSHKh2a30DoXe8/edit?usp=sharing"",""พังงา!J379"")"),0)</f>
        <v>0</v>
      </c>
      <c r="K484" s="167">
        <f t="shared" ca="1" si="117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IFERROR(__xludf.DUMMYFUNCTION("IMPORTRANGE(""https://docs.google.com/spreadsheets/d/1IYY_tgx_IHuhSq3AJ5eI5OnqOPBNLWSHKh2a30DoXe8/edit?usp=sharing"",""พังงา!I380"")"),0)</f>
        <v>0</v>
      </c>
      <c r="J485" s="195">
        <f ca="1">IFERROR(__xludf.DUMMYFUNCTION("IMPORTRANGE(""https://docs.google.com/spreadsheets/d/1IYY_tgx_IHuhSq3AJ5eI5OnqOPBNLWSHKh2a30DoXe8/edit?usp=sharing"",""พังงา!J380"")"),0)</f>
        <v>0</v>
      </c>
      <c r="K485" s="167">
        <f t="shared" ca="1" si="117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IFERROR(__xludf.DUMMYFUNCTION("IMPORTRANGE(""https://docs.google.com/spreadsheets/d/1IYY_tgx_IHuhSq3AJ5eI5OnqOPBNLWSHKh2a30DoXe8/edit?usp=sharing"",""พังงา!I381"")"),0)</f>
        <v>0</v>
      </c>
      <c r="J486" s="195">
        <f ca="1">IFERROR(__xludf.DUMMYFUNCTION("IMPORTRANGE(""https://docs.google.com/spreadsheets/d/1IYY_tgx_IHuhSq3AJ5eI5OnqOPBNLWSHKh2a30DoXe8/edit?usp=sharing"",""พังงา!J381"")"),0)</f>
        <v>0</v>
      </c>
      <c r="K486" s="167">
        <f t="shared" ca="1" si="117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IFERROR(__xludf.DUMMYFUNCTION("IMPORTRANGE(""https://docs.google.com/spreadsheets/d/1IYY_tgx_IHuhSq3AJ5eI5OnqOPBNLWSHKh2a30DoXe8/edit?usp=sharing"",""พังงา!I382"")"),0)</f>
        <v>0</v>
      </c>
      <c r="J487" s="426">
        <f ca="1">IFERROR(__xludf.DUMMYFUNCTION("IMPORTRANGE(""https://docs.google.com/spreadsheets/d/1IYY_tgx_IHuhSq3AJ5eI5OnqOPBNLWSHKh2a30DoXe8/edit?usp=sharing"",""พังงา!J382"")"),0)</f>
        <v>0</v>
      </c>
      <c r="K487" s="167">
        <f t="shared" ca="1" si="117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IFERROR(__xludf.DUMMYFUNCTION("IMPORTRANGE(""https://docs.google.com/spreadsheets/d/1IYY_tgx_IHuhSq3AJ5eI5OnqOPBNLWSHKh2a30DoXe8/edit?usp=sharing"",""พังงา!I383"")"),0)</f>
        <v>0</v>
      </c>
      <c r="J488" s="426">
        <f ca="1">IFERROR(__xludf.DUMMYFUNCTION("IMPORTRANGE(""https://docs.google.com/spreadsheets/d/1IYY_tgx_IHuhSq3AJ5eI5OnqOPBNLWSHKh2a30DoXe8/edit?usp=sharing"",""พังงา!J383"")"),0)</f>
        <v>0</v>
      </c>
      <c r="K488" s="167">
        <f t="shared" ca="1" si="117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IFERROR(__xludf.DUMMYFUNCTION("IMPORTRANGE(""https://docs.google.com/spreadsheets/d/1IYY_tgx_IHuhSq3AJ5eI5OnqOPBNLWSHKh2a30DoXe8/edit?usp=sharing"",""พังงา!I384"")"),0)</f>
        <v>0</v>
      </c>
      <c r="J489" s="195">
        <f ca="1">IFERROR(__xludf.DUMMYFUNCTION("IMPORTRANGE(""https://docs.google.com/spreadsheets/d/1IYY_tgx_IHuhSq3AJ5eI5OnqOPBNLWSHKh2a30DoXe8/edit?usp=sharing"",""พังงา!J384"")"),0)</f>
        <v>0</v>
      </c>
      <c r="K489" s="167">
        <f t="shared" ca="1" si="117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IFERROR(__xludf.DUMMYFUNCTION("IMPORTRANGE(""https://docs.google.com/spreadsheets/d/1IYY_tgx_IHuhSq3AJ5eI5OnqOPBNLWSHKh2a30DoXe8/edit?usp=sharing"",""พังงา!I385"")"),0)</f>
        <v>0</v>
      </c>
      <c r="J490" s="195">
        <f ca="1">IFERROR(__xludf.DUMMYFUNCTION("IMPORTRANGE(""https://docs.google.com/spreadsheets/d/1IYY_tgx_IHuhSq3AJ5eI5OnqOPBNLWSHKh2a30DoXe8/edit?usp=sharing"",""พังงา!J385"")"),0)</f>
        <v>0</v>
      </c>
      <c r="K490" s="167">
        <f t="shared" ca="1" si="117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IFERROR(__xludf.DUMMYFUNCTION("IMPORTRANGE(""https://docs.google.com/spreadsheets/d/1IYY_tgx_IHuhSq3AJ5eI5OnqOPBNLWSHKh2a30DoXe8/edit?usp=sharing"",""พังงา!I386"")"),0)</f>
        <v>0</v>
      </c>
      <c r="J491" s="195">
        <f ca="1">IFERROR(__xludf.DUMMYFUNCTION("IMPORTRANGE(""https://docs.google.com/spreadsheets/d/1IYY_tgx_IHuhSq3AJ5eI5OnqOPBNLWSHKh2a30DoXe8/edit?usp=sharing"",""พังงา!J386"")"),0)</f>
        <v>0</v>
      </c>
      <c r="K491" s="167">
        <f t="shared" ca="1" si="117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IFERROR(__xludf.DUMMYFUNCTION("IMPORTRANGE(""https://docs.google.com/spreadsheets/d/1IYY_tgx_IHuhSq3AJ5eI5OnqOPBNLWSHKh2a30DoXe8/edit?usp=sharing"",""พังงา!I387"")"),0)</f>
        <v>0</v>
      </c>
      <c r="J492" s="195">
        <f ca="1">IFERROR(__xludf.DUMMYFUNCTION("IMPORTRANGE(""https://docs.google.com/spreadsheets/d/1IYY_tgx_IHuhSq3AJ5eI5OnqOPBNLWSHKh2a30DoXe8/edit?usp=sharing"",""พังงา!J387"")"),0)</f>
        <v>0</v>
      </c>
      <c r="K492" s="167">
        <f t="shared" ca="1" si="117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IFERROR(__xludf.DUMMYFUNCTION("IMPORTRANGE(""https://docs.google.com/spreadsheets/d/1IYY_tgx_IHuhSq3AJ5eI5OnqOPBNLWSHKh2a30DoXe8/edit?usp=sharing"",""พังงา!I388"")"),0)</f>
        <v>0</v>
      </c>
      <c r="J493" s="195">
        <f ca="1">IFERROR(__xludf.DUMMYFUNCTION("IMPORTRANGE(""https://docs.google.com/spreadsheets/d/1IYY_tgx_IHuhSq3AJ5eI5OnqOPBNLWSHKh2a30DoXe8/edit?usp=sharing"",""พังงา!J388"")"),0)</f>
        <v>0</v>
      </c>
      <c r="K493" s="167">
        <f t="shared" ca="1" si="117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IFERROR(__xludf.DUMMYFUNCTION("IMPORTRANGE(""https://docs.google.com/spreadsheets/d/1IYY_tgx_IHuhSq3AJ5eI5OnqOPBNLWSHKh2a30DoXe8/edit?usp=sharing"",""พังงา!I389"")"),0)</f>
        <v>0</v>
      </c>
      <c r="J494" s="442">
        <f ca="1">IFERROR(__xludf.DUMMYFUNCTION("IMPORTRANGE(""https://docs.google.com/spreadsheets/d/1IYY_tgx_IHuhSq3AJ5eI5OnqOPBNLWSHKh2a30DoXe8/edit?usp=sharing"",""พังงา!J389"")"),0)</f>
        <v>0</v>
      </c>
      <c r="K494" s="294">
        <f t="shared" ca="1" si="117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IFERROR(__xludf.DUMMYFUNCTION("IMPORTRANGE(""https://docs.google.com/spreadsheets/d/1IYY_tgx_IHuhSq3AJ5eI5OnqOPBNLWSHKh2a30DoXe8/edit?usp=sharing"",""พังงา!I390"")"),0)</f>
        <v>0</v>
      </c>
      <c r="J495" s="442">
        <f ca="1">IFERROR(__xludf.DUMMYFUNCTION("IMPORTRANGE(""https://docs.google.com/spreadsheets/d/1IYY_tgx_IHuhSq3AJ5eI5OnqOPBNLWSHKh2a30DoXe8/edit?usp=sharing"",""พังงา!J390"")"),2.11)</f>
        <v>2.11</v>
      </c>
      <c r="K495" s="167">
        <f t="shared" ca="1" si="117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IFERROR(__xludf.DUMMYFUNCTION("IMPORTRANGE(""https://docs.google.com/spreadsheets/d/1IYY_tgx_IHuhSq3AJ5eI5OnqOPBNLWSHKh2a30DoXe8/edit?usp=sharing"",""พังงา!I391"")"),0)</f>
        <v>0</v>
      </c>
      <c r="J496" s="442">
        <f ca="1">IFERROR(__xludf.DUMMYFUNCTION("IMPORTRANGE(""https://docs.google.com/spreadsheets/d/1IYY_tgx_IHuhSq3AJ5eI5OnqOPBNLWSHKh2a30DoXe8/edit?usp=sharing"",""พังงา!J391"")"),1)</f>
        <v>1</v>
      </c>
      <c r="K496" s="294">
        <f t="shared" ca="1" si="117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IFERROR(__xludf.DUMMYFUNCTION("IMPORTRANGE(""https://docs.google.com/spreadsheets/d/1IYY_tgx_IHuhSq3AJ5eI5OnqOPBNLWSHKh2a30DoXe8/edit?usp=sharing"",""พังงา!I392"")"),80)</f>
        <v>80</v>
      </c>
      <c r="J497" s="449">
        <f ca="1">IFERROR(__xludf.DUMMYFUNCTION("IMPORTRANGE(""https://docs.google.com/spreadsheets/d/1IYY_tgx_IHuhSq3AJ5eI5OnqOPBNLWSHKh2a30DoXe8/edit?usp=sharing"",""พังงา!J392"")"),0)</f>
        <v>0</v>
      </c>
      <c r="K497" s="450">
        <f t="shared" ca="1" si="117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IFERROR(__xludf.DUMMYFUNCTION("IMPORTRANGE(""https://docs.google.com/spreadsheets/d/1IYY_tgx_IHuhSq3AJ5eI5OnqOPBNLWSHKh2a30DoXe8/edit?usp=sharing"",""พังงา!I393"")"),80)</f>
        <v>80</v>
      </c>
      <c r="J498" s="426">
        <f ca="1">IFERROR(__xludf.DUMMYFUNCTION("IMPORTRANGE(""https://docs.google.com/spreadsheets/d/1IYY_tgx_IHuhSq3AJ5eI5OnqOPBNLWSHKh2a30DoXe8/edit?usp=sharing"",""พังงา!J393"")"),0)</f>
        <v>0</v>
      </c>
      <c r="K498" s="167">
        <f t="shared" ca="1" si="117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IFERROR(__xludf.DUMMYFUNCTION("IMPORTRANGE(""https://docs.google.com/spreadsheets/d/1IYY_tgx_IHuhSq3AJ5eI5OnqOPBNLWSHKh2a30DoXe8/edit?usp=sharing"",""พังงา!I394"")"),10)</f>
        <v>10</v>
      </c>
      <c r="J499" s="426">
        <f ca="1">IFERROR(__xludf.DUMMYFUNCTION("IMPORTRANGE(""https://docs.google.com/spreadsheets/d/1IYY_tgx_IHuhSq3AJ5eI5OnqOPBNLWSHKh2a30DoXe8/edit?usp=sharing"",""พังงา!J394"")"),0)</f>
        <v>0</v>
      </c>
      <c r="K499" s="208">
        <f t="shared" ca="1" si="117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IFERROR(__xludf.DUMMYFUNCTION("IMPORTRANGE(""https://docs.google.com/spreadsheets/d/1IYY_tgx_IHuhSq3AJ5eI5OnqOPBNLWSHKh2a30DoXe8/edit?usp=sharing"",""พังงา!I395"")"),0)</f>
        <v>0</v>
      </c>
      <c r="J500" s="166">
        <f ca="1">IFERROR(__xludf.DUMMYFUNCTION("IMPORTRANGE(""https://docs.google.com/spreadsheets/d/1IYY_tgx_IHuhSq3AJ5eI5OnqOPBNLWSHKh2a30DoXe8/edit?usp=sharing"",""พังงา!J395"")"),0)</f>
        <v>0</v>
      </c>
      <c r="K500" s="167">
        <f t="shared" ca="1" si="117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IFERROR(__xludf.DUMMYFUNCTION("IMPORTRANGE(""https://docs.google.com/spreadsheets/d/1IYY_tgx_IHuhSq3AJ5eI5OnqOPBNLWSHKh2a30DoXe8/edit?usp=sharing"",""พังงา!I396"")"),0)</f>
        <v>0</v>
      </c>
      <c r="J501" s="166">
        <f ca="1">IFERROR(__xludf.DUMMYFUNCTION("IMPORTRANGE(""https://docs.google.com/spreadsheets/d/1IYY_tgx_IHuhSq3AJ5eI5OnqOPBNLWSHKh2a30DoXe8/edit?usp=sharing"",""พังงา!J396"")"),0)</f>
        <v>0</v>
      </c>
      <c r="K501" s="167">
        <f t="shared" ca="1" si="117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IFERROR(__xludf.DUMMYFUNCTION("IMPORTRANGE(""https://docs.google.com/spreadsheets/d/1IYY_tgx_IHuhSq3AJ5eI5OnqOPBNLWSHKh2a30DoXe8/edit?usp=sharing"",""พังงา!I397"")"),0)</f>
        <v>0</v>
      </c>
      <c r="J502" s="195">
        <f ca="1">IFERROR(__xludf.DUMMYFUNCTION("IMPORTRANGE(""https://docs.google.com/spreadsheets/d/1IYY_tgx_IHuhSq3AJ5eI5OnqOPBNLWSHKh2a30DoXe8/edit?usp=sharing"",""พังงา!J397"")"),0)</f>
        <v>0</v>
      </c>
      <c r="K502" s="167">
        <f t="shared" ca="1" si="117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IFERROR(__xludf.DUMMYFUNCTION("IMPORTRANGE(""https://docs.google.com/spreadsheets/d/1IYY_tgx_IHuhSq3AJ5eI5OnqOPBNLWSHKh2a30DoXe8/edit?usp=sharing"",""พังงา!I398"")"),0)</f>
        <v>0</v>
      </c>
      <c r="J503" s="204">
        <f ca="1">IFERROR(__xludf.DUMMYFUNCTION("IMPORTRANGE(""https://docs.google.com/spreadsheets/d/1IYY_tgx_IHuhSq3AJ5eI5OnqOPBNLWSHKh2a30DoXe8/edit?usp=sharing"",""พังงา!J398"")"),0)</f>
        <v>0</v>
      </c>
      <c r="K503" s="167">
        <f t="shared" ca="1" si="117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IFERROR(__xludf.DUMMYFUNCTION("IMPORTRANGE(""https://docs.google.com/spreadsheets/d/1IYY_tgx_IHuhSq3AJ5eI5OnqOPBNLWSHKh2a30DoXe8/edit?usp=sharing"",""พังงา!I399"")"),0)</f>
        <v>0</v>
      </c>
      <c r="J504" s="195">
        <f ca="1">IFERROR(__xludf.DUMMYFUNCTION("IMPORTRANGE(""https://docs.google.com/spreadsheets/d/1IYY_tgx_IHuhSq3AJ5eI5OnqOPBNLWSHKh2a30DoXe8/edit?usp=sharing"",""พังงา!J399"")"),0)</f>
        <v>0</v>
      </c>
      <c r="K504" s="167">
        <f t="shared" ca="1" si="117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IFERROR(__xludf.DUMMYFUNCTION("IMPORTRANGE(""https://docs.google.com/spreadsheets/d/1IYY_tgx_IHuhSq3AJ5eI5OnqOPBNLWSHKh2a30DoXe8/edit?usp=sharing"",""พังงา!I400"")"),0)</f>
        <v>0</v>
      </c>
      <c r="J505" s="204">
        <f ca="1">IFERROR(__xludf.DUMMYFUNCTION("IMPORTRANGE(""https://docs.google.com/spreadsheets/d/1IYY_tgx_IHuhSq3AJ5eI5OnqOPBNLWSHKh2a30DoXe8/edit?usp=sharing"",""พังงา!J400"")"),0)</f>
        <v>0</v>
      </c>
      <c r="K505" s="167">
        <f t="shared" ca="1" si="117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IFERROR(__xludf.DUMMYFUNCTION("IMPORTRANGE(""https://docs.google.com/spreadsheets/d/1IYY_tgx_IHuhSq3AJ5eI5OnqOPBNLWSHKh2a30DoXe8/edit?usp=sharing"",""พังงา!I401"")"),0)</f>
        <v>0</v>
      </c>
      <c r="J506" s="195">
        <f ca="1">IFERROR(__xludf.DUMMYFUNCTION("IMPORTRANGE(""https://docs.google.com/spreadsheets/d/1IYY_tgx_IHuhSq3AJ5eI5OnqOPBNLWSHKh2a30DoXe8/edit?usp=sharing"",""พังงา!J401"")"),0)</f>
        <v>0</v>
      </c>
      <c r="K506" s="167">
        <f t="shared" ca="1" si="117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IFERROR(__xludf.DUMMYFUNCTION("IMPORTRANGE(""https://docs.google.com/spreadsheets/d/1IYY_tgx_IHuhSq3AJ5eI5OnqOPBNLWSHKh2a30DoXe8/edit?usp=sharing"",""พังงา!I402"")"),0)</f>
        <v>0</v>
      </c>
      <c r="J507" s="204">
        <f ca="1">IFERROR(__xludf.DUMMYFUNCTION("IMPORTRANGE(""https://docs.google.com/spreadsheets/d/1IYY_tgx_IHuhSq3AJ5eI5OnqOPBNLWSHKh2a30DoXe8/edit?usp=sharing"",""พังงา!J402"")"),0)</f>
        <v>0</v>
      </c>
      <c r="K507" s="167">
        <f t="shared" ca="1" si="117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IFERROR(__xludf.DUMMYFUNCTION("IMPORTRANGE(""https://docs.google.com/spreadsheets/d/1IYY_tgx_IHuhSq3AJ5eI5OnqOPBNLWSHKh2a30DoXe8/edit?usp=sharing"",""พังงา!I403"")"),0)</f>
        <v>0</v>
      </c>
      <c r="J508" s="166">
        <f ca="1">IFERROR(__xludf.DUMMYFUNCTION("IMPORTRANGE(""https://docs.google.com/spreadsheets/d/1IYY_tgx_IHuhSq3AJ5eI5OnqOPBNLWSHKh2a30DoXe8/edit?usp=sharing"",""พังงา!J403"")"),0)</f>
        <v>0</v>
      </c>
      <c r="K508" s="167">
        <f t="shared" ca="1" si="117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IFERROR(__xludf.DUMMYFUNCTION("IMPORTRANGE(""https://docs.google.com/spreadsheets/d/1IYY_tgx_IHuhSq3AJ5eI5OnqOPBNLWSHKh2a30DoXe8/edit?usp=sharing"",""พังงา!I404"")"),0)</f>
        <v>0</v>
      </c>
      <c r="J509" s="166">
        <f ca="1">IFERROR(__xludf.DUMMYFUNCTION("IMPORTRANGE(""https://docs.google.com/spreadsheets/d/1IYY_tgx_IHuhSq3AJ5eI5OnqOPBNLWSHKh2a30DoXe8/edit?usp=sharing"",""พังงา!J404"")"),0)</f>
        <v>0</v>
      </c>
      <c r="K509" s="167">
        <f t="shared" ca="1" si="117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IFERROR(__xludf.DUMMYFUNCTION("IMPORTRANGE(""https://docs.google.com/spreadsheets/d/1IYY_tgx_IHuhSq3AJ5eI5OnqOPBNLWSHKh2a30DoXe8/edit?usp=sharing"",""พังงา!I405"")"),0)</f>
        <v>0</v>
      </c>
      <c r="J510" s="204">
        <f ca="1">IFERROR(__xludf.DUMMYFUNCTION("IMPORTRANGE(""https://docs.google.com/spreadsheets/d/1IYY_tgx_IHuhSq3AJ5eI5OnqOPBNLWSHKh2a30DoXe8/edit?usp=sharing"",""พังงา!J405"")"),0)</f>
        <v>0</v>
      </c>
      <c r="K510" s="167">
        <f t="shared" ca="1" si="117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IFERROR(__xludf.DUMMYFUNCTION("IMPORTRANGE(""https://docs.google.com/spreadsheets/d/1IYY_tgx_IHuhSq3AJ5eI5OnqOPBNLWSHKh2a30DoXe8/edit?usp=sharing"",""พังงา!I406"")"),0)</f>
        <v>0</v>
      </c>
      <c r="J511" s="204">
        <f ca="1">IFERROR(__xludf.DUMMYFUNCTION("IMPORTRANGE(""https://docs.google.com/spreadsheets/d/1IYY_tgx_IHuhSq3AJ5eI5OnqOPBNLWSHKh2a30DoXe8/edit?usp=sharing"",""พังงา!J406"")"),0)</f>
        <v>0</v>
      </c>
      <c r="K511" s="167">
        <f t="shared" ca="1" si="117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IFERROR(__xludf.DUMMYFUNCTION("IMPORTRANGE(""https://docs.google.com/spreadsheets/d/1IYY_tgx_IHuhSq3AJ5eI5OnqOPBNLWSHKh2a30DoXe8/edit?usp=sharing"",""พังงา!I407"")"),0)</f>
        <v>0</v>
      </c>
      <c r="J512" s="204">
        <f ca="1">IFERROR(__xludf.DUMMYFUNCTION("IMPORTRANGE(""https://docs.google.com/spreadsheets/d/1IYY_tgx_IHuhSq3AJ5eI5OnqOPBNLWSHKh2a30DoXe8/edit?usp=sharing"",""พังงา!J407"")"),0)</f>
        <v>0</v>
      </c>
      <c r="K512" s="167">
        <f t="shared" ca="1" si="117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IFERROR(__xludf.DUMMYFUNCTION("IMPORTRANGE(""https://docs.google.com/spreadsheets/d/1IYY_tgx_IHuhSq3AJ5eI5OnqOPBNLWSHKh2a30DoXe8/edit?usp=sharing"",""พังงา!I408"")"),0)</f>
        <v>0</v>
      </c>
      <c r="J513" s="204">
        <f ca="1">IFERROR(__xludf.DUMMYFUNCTION("IMPORTRANGE(""https://docs.google.com/spreadsheets/d/1IYY_tgx_IHuhSq3AJ5eI5OnqOPBNLWSHKh2a30DoXe8/edit?usp=sharing"",""พังงา!J408"")"),0)</f>
        <v>0</v>
      </c>
      <c r="K513" s="167">
        <f t="shared" ca="1" si="117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IFERROR(__xludf.DUMMYFUNCTION("IMPORTRANGE(""https://docs.google.com/spreadsheets/d/1IYY_tgx_IHuhSq3AJ5eI5OnqOPBNLWSHKh2a30DoXe8/edit?usp=sharing"",""พังงา!I409"")"),0)</f>
        <v>0</v>
      </c>
      <c r="J514" s="204">
        <f ca="1">IFERROR(__xludf.DUMMYFUNCTION("IMPORTRANGE(""https://docs.google.com/spreadsheets/d/1IYY_tgx_IHuhSq3AJ5eI5OnqOPBNLWSHKh2a30DoXe8/edit?usp=sharing"",""พังงา!J409"")"),0)</f>
        <v>0</v>
      </c>
      <c r="K514" s="167">
        <f t="shared" ca="1" si="117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IFERROR(__xludf.DUMMYFUNCTION("IMPORTRANGE(""https://docs.google.com/spreadsheets/d/1IYY_tgx_IHuhSq3AJ5eI5OnqOPBNLWSHKh2a30DoXe8/edit?usp=sharing"",""พังงา!I410"")"),0)</f>
        <v>0</v>
      </c>
      <c r="J515" s="204">
        <f ca="1">IFERROR(__xludf.DUMMYFUNCTION("IMPORTRANGE(""https://docs.google.com/spreadsheets/d/1IYY_tgx_IHuhSq3AJ5eI5OnqOPBNLWSHKh2a30DoXe8/edit?usp=sharing"",""พังงา!J410"")"),0)</f>
        <v>0</v>
      </c>
      <c r="K515" s="167">
        <f t="shared" ca="1" si="117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IFERROR(__xludf.DUMMYFUNCTION("IMPORTRANGE(""https://docs.google.com/spreadsheets/d/1IYY_tgx_IHuhSq3AJ5eI5OnqOPBNLWSHKh2a30DoXe8/edit?usp=sharing"",""พังงา!I411"")"),0)</f>
        <v>0</v>
      </c>
      <c r="J516" s="273">
        <f ca="1">IFERROR(__xludf.DUMMYFUNCTION("IMPORTRANGE(""https://docs.google.com/spreadsheets/d/1IYY_tgx_IHuhSq3AJ5eI5OnqOPBNLWSHKh2a30DoXe8/edit?usp=sharing"",""พังงา!J411"")"),0)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IFERROR(__xludf.DUMMYFUNCTION("IMPORTRANGE(""https://docs.google.com/spreadsheets/d/1IYY_tgx_IHuhSq3AJ5eI5OnqOPBNLWSHKh2a30DoXe8/edit?usp=sharing"",""พังงา!I412"")"),0)</f>
        <v>0</v>
      </c>
      <c r="J517" s="290">
        <f ca="1">IFERROR(__xludf.DUMMYFUNCTION("IMPORTRANGE(""https://docs.google.com/spreadsheets/d/1IYY_tgx_IHuhSq3AJ5eI5OnqOPBNLWSHKh2a30DoXe8/edit?usp=sharing"",""พังงา!J412"")"),0)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IFERROR(__xludf.DUMMYFUNCTION("IMPORTRANGE(""https://docs.google.com/spreadsheets/d/1IYY_tgx_IHuhSq3AJ5eI5OnqOPBNLWSHKh2a30DoXe8/edit?usp=sharing"",""พังงา!I413"")"),0)</f>
        <v>0</v>
      </c>
      <c r="J518" s="290">
        <f ca="1">IFERROR(__xludf.DUMMYFUNCTION("IMPORTRANGE(""https://docs.google.com/spreadsheets/d/1IYY_tgx_IHuhSq3AJ5eI5OnqOPBNLWSHKh2a30DoXe8/edit?usp=sharing"",""พังงา!J413"")"),0)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IFERROR(__xludf.DUMMYFUNCTION("IMPORTRANGE(""https://docs.google.com/spreadsheets/d/1IYY_tgx_IHuhSq3AJ5eI5OnqOPBNLWSHKh2a30DoXe8/edit?usp=sharing"",""พังงา!I414"")"),0)</f>
        <v>0</v>
      </c>
      <c r="J519" s="194">
        <f ca="1">IFERROR(__xludf.DUMMYFUNCTION("IMPORTRANGE(""https://docs.google.com/spreadsheets/d/1IYY_tgx_IHuhSq3AJ5eI5OnqOPBNLWSHKh2a30DoXe8/edit?usp=sharing"",""พังงา!J414"")"),0)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IFERROR(__xludf.DUMMYFUNCTION("IMPORTRANGE(""https://docs.google.com/spreadsheets/d/1IYY_tgx_IHuhSq3AJ5eI5OnqOPBNLWSHKh2a30DoXe8/edit?usp=sharing"",""พังงา!I415"")"),0)</f>
        <v>0</v>
      </c>
      <c r="J520" s="194">
        <f ca="1">IFERROR(__xludf.DUMMYFUNCTION("IMPORTRANGE(""https://docs.google.com/spreadsheets/d/1IYY_tgx_IHuhSq3AJ5eI5OnqOPBNLWSHKh2a30DoXe8/edit?usp=sharing"",""พังงา!J415"")"),0)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IFERROR(__xludf.DUMMYFUNCTION("IMPORTRANGE(""https://docs.google.com/spreadsheets/d/1IYY_tgx_IHuhSq3AJ5eI5OnqOPBNLWSHKh2a30DoXe8/edit?usp=sharing"",""พังงา!I416"")"),0)</f>
        <v>0</v>
      </c>
      <c r="J521" s="194">
        <f ca="1">IFERROR(__xludf.DUMMYFUNCTION("IMPORTRANGE(""https://docs.google.com/spreadsheets/d/1IYY_tgx_IHuhSq3AJ5eI5OnqOPBNLWSHKh2a30DoXe8/edit?usp=sharing"",""พังงา!J416"")"),0)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IFERROR(__xludf.DUMMYFUNCTION("IMPORTRANGE(""https://docs.google.com/spreadsheets/d/1IYY_tgx_IHuhSq3AJ5eI5OnqOPBNLWSHKh2a30DoXe8/edit?usp=sharing"",""พังงา!I417"")"),0)</f>
        <v>0</v>
      </c>
      <c r="J522" s="194">
        <f ca="1">IFERROR(__xludf.DUMMYFUNCTION("IMPORTRANGE(""https://docs.google.com/spreadsheets/d/1IYY_tgx_IHuhSq3AJ5eI5OnqOPBNLWSHKh2a30DoXe8/edit?usp=sharing"",""พังงา!J417"")"),0)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IFERROR(__xludf.DUMMYFUNCTION("IMPORTRANGE(""https://docs.google.com/spreadsheets/d/1IYY_tgx_IHuhSq3AJ5eI5OnqOPBNLWSHKh2a30DoXe8/edit?usp=sharing"",""พังงา!I418"")"),0)</f>
        <v>0</v>
      </c>
      <c r="J523" s="194">
        <f ca="1">IFERROR(__xludf.DUMMYFUNCTION("IMPORTRANGE(""https://docs.google.com/spreadsheets/d/1IYY_tgx_IHuhSq3AJ5eI5OnqOPBNLWSHKh2a30DoXe8/edit?usp=sharing"",""พังงา!J418"")"),36)</f>
        <v>36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IFERROR(__xludf.DUMMYFUNCTION("IMPORTRANGE(""https://docs.google.com/spreadsheets/d/1IYY_tgx_IHuhSq3AJ5eI5OnqOPBNLWSHKh2a30DoXe8/edit?usp=sharing"",""พังงา!I419"")"),0)</f>
        <v>0</v>
      </c>
      <c r="J524" s="194">
        <f ca="1">IFERROR(__xludf.DUMMYFUNCTION("IMPORTRANGE(""https://docs.google.com/spreadsheets/d/1IYY_tgx_IHuhSq3AJ5eI5OnqOPBNLWSHKh2a30DoXe8/edit?usp=sharing"",""พังงา!J419"")"),4)</f>
        <v>4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IFERROR(__xludf.DUMMYFUNCTION("IMPORTRANGE(""https://docs.google.com/spreadsheets/d/1IYY_tgx_IHuhSq3AJ5eI5OnqOPBNLWSHKh2a30DoXe8/edit?usp=sharing"",""พังงา!I420"")"),36)</f>
        <v>36</v>
      </c>
      <c r="J525" s="290">
        <f ca="1">IFERROR(__xludf.DUMMYFUNCTION("IMPORTRANGE(""https://docs.google.com/spreadsheets/d/1IYY_tgx_IHuhSq3AJ5eI5OnqOPBNLWSHKh2a30DoXe8/edit?usp=sharing"",""พังงา!J420"")"),0)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IFERROR(__xludf.DUMMYFUNCTION("IMPORTRANGE(""https://docs.google.com/spreadsheets/d/1IYY_tgx_IHuhSq3AJ5eI5OnqOPBNLWSHKh2a30DoXe8/edit?usp=sharing"",""พังงา!I421"")"),4)</f>
        <v>4</v>
      </c>
      <c r="J526" s="290">
        <f ca="1">IFERROR(__xludf.DUMMYFUNCTION("IMPORTRANGE(""https://docs.google.com/spreadsheets/d/1IYY_tgx_IHuhSq3AJ5eI5OnqOPBNLWSHKh2a30DoXe8/edit?usp=sharing"",""พังงา!J421"")"),0)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IFERROR(__xludf.DUMMYFUNCTION("IMPORTRANGE(""https://docs.google.com/spreadsheets/d/1IYY_tgx_IHuhSq3AJ5eI5OnqOPBNLWSHKh2a30DoXe8/edit?usp=sharing"",""พังงา!I422"")"),0)</f>
        <v>0</v>
      </c>
      <c r="J527" s="204">
        <f ca="1">IFERROR(__xludf.DUMMYFUNCTION("IMPORTRANGE(""https://docs.google.com/spreadsheets/d/1IYY_tgx_IHuhSq3AJ5eI5OnqOPBNLWSHKh2a30DoXe8/edit?usp=sharing"",""พังงา!J422"")"),0)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IFERROR(__xludf.DUMMYFUNCTION("IMPORTRANGE(""https://docs.google.com/spreadsheets/d/1IYY_tgx_IHuhSq3AJ5eI5OnqOPBNLWSHKh2a30DoXe8/edit?usp=sharing"",""พังงา!I423"")"),0)</f>
        <v>0</v>
      </c>
      <c r="J528" s="204">
        <f ca="1">IFERROR(__xludf.DUMMYFUNCTION("IMPORTRANGE(""https://docs.google.com/spreadsheets/d/1IYY_tgx_IHuhSq3AJ5eI5OnqOPBNLWSHKh2a30DoXe8/edit?usp=sharing"",""พังงา!J423"")"),0)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IFERROR(__xludf.DUMMYFUNCTION("IMPORTRANGE(""https://docs.google.com/spreadsheets/d/1IYY_tgx_IHuhSq3AJ5eI5OnqOPBNLWSHKh2a30DoXe8/edit?usp=sharing"",""พังงา!I424"")"),0)</f>
        <v>0</v>
      </c>
      <c r="J529" s="204">
        <f ca="1">IFERROR(__xludf.DUMMYFUNCTION("IMPORTRANGE(""https://docs.google.com/spreadsheets/d/1IYY_tgx_IHuhSq3AJ5eI5OnqOPBNLWSHKh2a30DoXe8/edit?usp=sharing"",""พังงา!J424"")"),0)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IFERROR(__xludf.DUMMYFUNCTION("IMPORTRANGE(""https://docs.google.com/spreadsheets/d/1IYY_tgx_IHuhSq3AJ5eI5OnqOPBNLWSHKh2a30DoXe8/edit?usp=sharing"",""พังงา!I425"")"),0)</f>
        <v>0</v>
      </c>
      <c r="J530" s="204">
        <f ca="1">IFERROR(__xludf.DUMMYFUNCTION("IMPORTRANGE(""https://docs.google.com/spreadsheets/d/1IYY_tgx_IHuhSq3AJ5eI5OnqOPBNLWSHKh2a30DoXe8/edit?usp=sharing"",""พังงา!J425"")"),0)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IFERROR(__xludf.DUMMYFUNCTION("IMPORTRANGE(""https://docs.google.com/spreadsheets/d/1IYY_tgx_IHuhSq3AJ5eI5OnqOPBNLWSHKh2a30DoXe8/edit?usp=sharing"",""พังงา!I426"")"),0)</f>
        <v>0</v>
      </c>
      <c r="J531" s="204">
        <f ca="1">IFERROR(__xludf.DUMMYFUNCTION("IMPORTRANGE(""https://docs.google.com/spreadsheets/d/1IYY_tgx_IHuhSq3AJ5eI5OnqOPBNLWSHKh2a30DoXe8/edit?usp=sharing"",""พังงา!J426"")"),0)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IFERROR(__xludf.DUMMYFUNCTION("IMPORTRANGE(""https://docs.google.com/spreadsheets/d/1IYY_tgx_IHuhSq3AJ5eI5OnqOPBNLWSHKh2a30DoXe8/edit?usp=sharing"",""พังงา!I427"")"),0)</f>
        <v>0</v>
      </c>
      <c r="J532" s="472">
        <f ca="1">IFERROR(__xludf.DUMMYFUNCTION("IMPORTRANGE(""https://docs.google.com/spreadsheets/d/1IYY_tgx_IHuhSq3AJ5eI5OnqOPBNLWSHKh2a30DoXe8/edit?usp=sharing"",""พังงา!J427"")"),0)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IFERROR(__xludf.DUMMYFUNCTION("IMPORTRANGE(""https://docs.google.com/spreadsheets/d/1IYY_tgx_IHuhSq3AJ5eI5OnqOPBNLWSHKh2a30DoXe8/edit?usp=sharing"",""พังงา!I428"")"),24)</f>
        <v>24</v>
      </c>
      <c r="J533" s="416">
        <f ca="1">IFERROR(__xludf.DUMMYFUNCTION("IMPORTRANGE(""https://docs.google.com/spreadsheets/d/1IYY_tgx_IHuhSq3AJ5eI5OnqOPBNLWSHKh2a30DoXe8/edit?usp=sharing"",""พังงา!J428"")"),24)</f>
        <v>24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IFERROR(__xludf.DUMMYFUNCTION("IMPORTRANGE(""https://docs.google.com/spreadsheets/d/1IYY_tgx_IHuhSq3AJ5eI5OnqOPBNLWSHKh2a30DoXe8/edit?usp=sharing"",""พังงา!L428"")"),36040)</f>
        <v>36040</v>
      </c>
      <c r="M533" s="418"/>
      <c r="N533" s="418">
        <f ca="1">IFERROR(__xludf.DUMMYFUNCTION("IMPORTRANGE(""https://docs.google.com/spreadsheets/d/1IYY_tgx_IHuhSq3AJ5eI5OnqOPBNLWSHKh2a30DoXe8/edit?usp=sharing"",""พังงา!M428"")"),29500)</f>
        <v>29500</v>
      </c>
      <c r="O533" s="418">
        <f t="shared" ref="O533:O537" ca="1" si="118">+IF(L533&gt;0,N533*100/L533,0)</f>
        <v>81.853496115427305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IFERROR(__xludf.DUMMYFUNCTION("IMPORTRANGE(""https://docs.google.com/spreadsheets/d/1IYY_tgx_IHuhSq3AJ5eI5OnqOPBNLWSHKh2a30DoXe8/edit?usp=sharing"",""พังงา!L429"")"),0)</f>
        <v>0</v>
      </c>
      <c r="M534" s="168"/>
      <c r="N534" s="175">
        <f ca="1">IFERROR(__xludf.DUMMYFUNCTION("IMPORTRANGE(""https://docs.google.com/spreadsheets/d/1IYY_tgx_IHuhSq3AJ5eI5OnqOPBNLWSHKh2a30DoXe8/edit?usp=sharing"",""พังงา!M429"")"),0)</f>
        <v>0</v>
      </c>
      <c r="O534" s="175">
        <f t="shared" ca="1" si="118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IFERROR(__xludf.DUMMYFUNCTION("IMPORTRANGE(""https://docs.google.com/spreadsheets/d/1IYY_tgx_IHuhSq3AJ5eI5OnqOPBNLWSHKh2a30DoXe8/edit?usp=sharing"",""พังงา!L430"")"),36040)</f>
        <v>36040</v>
      </c>
      <c r="M535" s="169"/>
      <c r="N535" s="175">
        <f ca="1">IFERROR(__xludf.DUMMYFUNCTION("IMPORTRANGE(""https://docs.google.com/spreadsheets/d/1IYY_tgx_IHuhSq3AJ5eI5OnqOPBNLWSHKh2a30DoXe8/edit?usp=sharing"",""พังงา!M430"")"),29500)</f>
        <v>29500</v>
      </c>
      <c r="O535" s="175">
        <f t="shared" ca="1" si="118"/>
        <v>81.853496115427305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IFERROR(__xludf.DUMMYFUNCTION("IMPORTRANGE(""https://docs.google.com/spreadsheets/d/1IYY_tgx_IHuhSq3AJ5eI5OnqOPBNLWSHKh2a30DoXe8/edit?usp=sharing"",""พังงา!L431"")"),0)</f>
        <v>0</v>
      </c>
      <c r="M536" s="175"/>
      <c r="N536" s="175">
        <f ca="1">IFERROR(__xludf.DUMMYFUNCTION("IMPORTRANGE(""https://docs.google.com/spreadsheets/d/1IYY_tgx_IHuhSq3AJ5eI5OnqOPBNLWSHKh2a30DoXe8/edit?usp=sharing"",""พังงา!M431"")"),0)</f>
        <v>0</v>
      </c>
      <c r="O536" s="175">
        <f t="shared" ca="1" si="118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IFERROR(__xludf.DUMMYFUNCTION("IMPORTRANGE(""https://docs.google.com/spreadsheets/d/1IYY_tgx_IHuhSq3AJ5eI5OnqOPBNLWSHKh2a30DoXe8/edit?usp=sharing"",""พังงา!L432"")"),36040)</f>
        <v>36040</v>
      </c>
      <c r="M537" s="175"/>
      <c r="N537" s="175">
        <f ca="1">IFERROR(__xludf.DUMMYFUNCTION("IMPORTRANGE(""https://docs.google.com/spreadsheets/d/1IYY_tgx_IHuhSq3AJ5eI5OnqOPBNLWSHKh2a30DoXe8/edit?usp=sharing"",""พังงา!M432"")"),29500)</f>
        <v>29500</v>
      </c>
      <c r="O537" s="175">
        <f t="shared" ca="1" si="118"/>
        <v>81.853496115427305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IFERROR(__xludf.DUMMYFUNCTION("IMPORTRANGE(""https://docs.google.com/spreadsheets/d/1IYY_tgx_IHuhSq3AJ5eI5OnqOPBNLWSHKh2a30DoXe8/edit?usp=sharing"",""พังงา!M433"")"),27660)</f>
        <v>27660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IFERROR(__xludf.DUMMYFUNCTION("IMPORTRANGE(""https://docs.google.com/spreadsheets/d/1IYY_tgx_IHuhSq3AJ5eI5OnqOPBNLWSHKh2a30DoXe8/edit?usp=sharing"",""พังงา!M434"")"),0)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IFERROR(__xludf.DUMMYFUNCTION("IMPORTRANGE(""https://docs.google.com/spreadsheets/d/1IYY_tgx_IHuhSq3AJ5eI5OnqOPBNLWSHKh2a30DoXe8/edit?usp=sharing"",""พังงา!M435"")"),0)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IFERROR(__xludf.DUMMYFUNCTION("IMPORTRANGE(""https://docs.google.com/spreadsheets/d/1IYY_tgx_IHuhSq3AJ5eI5OnqOPBNLWSHKh2a30DoXe8/edit?usp=sharing"",""พังงา!M436"")"),1840)</f>
        <v>1840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IFERROR(__xludf.DUMMYFUNCTION("IMPORTRANGE(""https://docs.google.com/spreadsheets/d/1IYY_tgx_IHuhSq3AJ5eI5OnqOPBNLWSHKh2a30DoXe8/edit?usp=sharing"",""พังงา!J438"")"),0)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IFERROR(__xludf.DUMMYFUNCTION("IMPORTRANGE(""https://docs.google.com/spreadsheets/d/1IYY_tgx_IHuhSq3AJ5eI5OnqOPBNLWSHKh2a30DoXe8/edit?usp=sharing"",""พังงา!J439"")"),1)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IFERROR(__xludf.DUMMYFUNCTION("IMPORTRANGE(""https://docs.google.com/spreadsheets/d/1IYY_tgx_IHuhSq3AJ5eI5OnqOPBNLWSHKh2a30DoXe8/edit?usp=sharing"",""พังงา!J440"")"),1)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IFERROR(__xludf.DUMMYFUNCTION("IMPORTRANGE(""https://docs.google.com/spreadsheets/d/1IYY_tgx_IHuhSq3AJ5eI5OnqOPBNLWSHKh2a30DoXe8/edit?usp=sharing"",""พังงา!J441"")"),1)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IFERROR(__xludf.DUMMYFUNCTION("IMPORTRANGE(""https://docs.google.com/spreadsheets/d/1IYY_tgx_IHuhSq3AJ5eI5OnqOPBNLWSHKh2a30DoXe8/edit?usp=sharing"",""พังงา!I442"")"),24)</f>
        <v>24</v>
      </c>
      <c r="J547" s="195">
        <f ca="1">IFERROR(__xludf.DUMMYFUNCTION("IMPORTRANGE(""https://docs.google.com/spreadsheets/d/1IYY_tgx_IHuhSq3AJ5eI5OnqOPBNLWSHKh2a30DoXe8/edit?usp=sharing"",""พังงา!J442"")"),24)</f>
        <v>24</v>
      </c>
      <c r="K547" s="167">
        <f t="shared" ref="K547:K548" ca="1" si="119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IFERROR(__xludf.DUMMYFUNCTION("IMPORTRANGE(""https://docs.google.com/spreadsheets/d/1IYY_tgx_IHuhSq3AJ5eI5OnqOPBNLWSHKh2a30DoXe8/edit?usp=sharing"",""พังงา!J166"")"),0)</f>
        <v>0</v>
      </c>
      <c r="K548" s="167">
        <f t="shared" ca="1" si="119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IFERROR(__xludf.DUMMYFUNCTION("IMPORTRANGE(""https://docs.google.com/spreadsheets/d/1IYY_tgx_IHuhSq3AJ5eI5OnqOPBNLWSHKh2a30DoXe8/edit?usp=sharing"",""พังงา!J444"")"),0)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IFERROR(__xludf.DUMMYFUNCTION("IMPORTRANGE(""https://docs.google.com/spreadsheets/d/1IYY_tgx_IHuhSq3AJ5eI5OnqOPBNLWSHKh2a30DoXe8/edit?usp=sharing"",""พังงา!J445"")"),0)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IFERROR(__xludf.DUMMYFUNCTION("IMPORTRANGE(""https://docs.google.com/spreadsheets/d/1IYY_tgx_IHuhSq3AJ5eI5OnqOPBNLWSHKh2a30DoXe8/edit?usp=sharing"",""พังงา!I446"")"),0)</f>
        <v>0</v>
      </c>
      <c r="J551" s="416">
        <f ca="1">IFERROR(__xludf.DUMMYFUNCTION("IMPORTRANGE(""https://docs.google.com/spreadsheets/d/1IYY_tgx_IHuhSq3AJ5eI5OnqOPBNLWSHKh2a30DoXe8/edit?usp=sharing"",""พังงา!J446"")"),0)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IFERROR(__xludf.DUMMYFUNCTION("IMPORTRANGE(""https://docs.google.com/spreadsheets/d/1IYY_tgx_IHuhSq3AJ5eI5OnqOPBNLWSHKh2a30DoXe8/edit?usp=sharing"",""พังงา!L446"")"),0)</f>
        <v>0</v>
      </c>
      <c r="M551" s="418"/>
      <c r="N551" s="418">
        <f ca="1">IFERROR(__xludf.DUMMYFUNCTION("IMPORTRANGE(""https://docs.google.com/spreadsheets/d/1IYY_tgx_IHuhSq3AJ5eI5OnqOPBNLWSHKh2a30DoXe8/edit?usp=sharing"",""พังงา!M446"")"),0)</f>
        <v>0</v>
      </c>
      <c r="O551" s="418">
        <f t="shared" ref="O551:O555" ca="1" si="120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IFERROR(__xludf.DUMMYFUNCTION("IMPORTRANGE(""https://docs.google.com/spreadsheets/d/1IYY_tgx_IHuhSq3AJ5eI5OnqOPBNLWSHKh2a30DoXe8/edit?usp=sharing"",""พังงา!L447"")"),0)</f>
        <v>0</v>
      </c>
      <c r="M552" s="168"/>
      <c r="N552" s="175">
        <f ca="1">IFERROR(__xludf.DUMMYFUNCTION("IMPORTRANGE(""https://docs.google.com/spreadsheets/d/1IYY_tgx_IHuhSq3AJ5eI5OnqOPBNLWSHKh2a30DoXe8/edit?usp=sharing"",""พังงา!M447"")"),0)</f>
        <v>0</v>
      </c>
      <c r="O552" s="175">
        <f t="shared" ca="1" si="120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IFERROR(__xludf.DUMMYFUNCTION("IMPORTRANGE(""https://docs.google.com/spreadsheets/d/1IYY_tgx_IHuhSq3AJ5eI5OnqOPBNLWSHKh2a30DoXe8/edit?usp=sharing"",""พังงา!L448"")"),0)</f>
        <v>0</v>
      </c>
      <c r="M553" s="169"/>
      <c r="N553" s="175">
        <f ca="1">IFERROR(__xludf.DUMMYFUNCTION("IMPORTRANGE(""https://docs.google.com/spreadsheets/d/1IYY_tgx_IHuhSq3AJ5eI5OnqOPBNLWSHKh2a30DoXe8/edit?usp=sharing"",""พังงา!M448"")"),0)</f>
        <v>0</v>
      </c>
      <c r="O553" s="175">
        <f t="shared" ca="1" si="120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IFERROR(__xludf.DUMMYFUNCTION("IMPORTRANGE(""https://docs.google.com/spreadsheets/d/1IYY_tgx_IHuhSq3AJ5eI5OnqOPBNLWSHKh2a30DoXe8/edit?usp=sharing"",""พังงา!L449"")"),0)</f>
        <v>0</v>
      </c>
      <c r="M554" s="175"/>
      <c r="N554" s="175">
        <f ca="1">IFERROR(__xludf.DUMMYFUNCTION("IMPORTRANGE(""https://docs.google.com/spreadsheets/d/1IYY_tgx_IHuhSq3AJ5eI5OnqOPBNLWSHKh2a30DoXe8/edit?usp=sharing"",""พังงา!M449"")"),0)</f>
        <v>0</v>
      </c>
      <c r="O554" s="175">
        <f t="shared" ca="1" si="120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IFERROR(__xludf.DUMMYFUNCTION("IMPORTRANGE(""https://docs.google.com/spreadsheets/d/1IYY_tgx_IHuhSq3AJ5eI5OnqOPBNLWSHKh2a30DoXe8/edit?usp=sharing"",""พังงา!L450"")"),0)</f>
        <v>0</v>
      </c>
      <c r="M555" s="175"/>
      <c r="N555" s="175">
        <f ca="1">IFERROR(__xludf.DUMMYFUNCTION("IMPORTRANGE(""https://docs.google.com/spreadsheets/d/1IYY_tgx_IHuhSq3AJ5eI5OnqOPBNLWSHKh2a30DoXe8/edit?usp=sharing"",""พังงา!M450"")"),0)</f>
        <v>0</v>
      </c>
      <c r="O555" s="175">
        <f t="shared" ca="1" si="120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IFERROR(__xludf.DUMMYFUNCTION("IMPORTRANGE(""https://docs.google.com/spreadsheets/d/1IYY_tgx_IHuhSq3AJ5eI5OnqOPBNLWSHKh2a30DoXe8/edit?usp=sharing"",""พังงา!M451"")"),0)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IFERROR(__xludf.DUMMYFUNCTION("IMPORTRANGE(""https://docs.google.com/spreadsheets/d/1IYY_tgx_IHuhSq3AJ5eI5OnqOPBNLWSHKh2a30DoXe8/edit?usp=sharing"",""พังงา!M452"")"),0)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IFERROR(__xludf.DUMMYFUNCTION("IMPORTRANGE(""https://docs.google.com/spreadsheets/d/1IYY_tgx_IHuhSq3AJ5eI5OnqOPBNLWSHKh2a30DoXe8/edit?usp=sharing"",""พังงา!M453"")"),0)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IFERROR(__xludf.DUMMYFUNCTION("IMPORTRANGE(""https://docs.google.com/spreadsheets/d/1IYY_tgx_IHuhSq3AJ5eI5OnqOPBNLWSHKh2a30DoXe8/edit?usp=sharing"",""พังงา!M454"")"),0)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IFERROR(__xludf.DUMMYFUNCTION("IMPORTRANGE(""https://docs.google.com/spreadsheets/d/1IYY_tgx_IHuhSq3AJ5eI5OnqOPBNLWSHKh2a30DoXe8/edit?usp=sharing"",""พังงา!I455"")"),0)</f>
        <v>0</v>
      </c>
      <c r="J560" s="166">
        <f ca="1">IFERROR(__xludf.DUMMYFUNCTION("IMPORTRANGE(""https://docs.google.com/spreadsheets/d/1IYY_tgx_IHuhSq3AJ5eI5OnqOPBNLWSHKh2a30DoXe8/edit?usp=sharing"",""พังงา!J455"")"),0)</f>
        <v>0</v>
      </c>
      <c r="K560" s="230">
        <f t="shared" ref="K560:K561" ca="1" si="121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IFERROR(__xludf.DUMMYFUNCTION("IMPORTRANGE(""https://docs.google.com/spreadsheets/d/1IYY_tgx_IHuhSq3AJ5eI5OnqOPBNLWSHKh2a30DoXe8/edit?usp=sharing"",""พังงา!I456"")"),0)</f>
        <v>0</v>
      </c>
      <c r="J561" s="210">
        <f ca="1">IFERROR(__xludf.DUMMYFUNCTION("IMPORTRANGE(""https://docs.google.com/spreadsheets/d/1IYY_tgx_IHuhSq3AJ5eI5OnqOPBNLWSHKh2a30DoXe8/edit?usp=sharing"",""พังงา!J456"")"),0)</f>
        <v>0</v>
      </c>
      <c r="K561" s="230">
        <f t="shared" ca="1" si="121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IFERROR(__xludf.DUMMYFUNCTION("IMPORTRANGE(""https://docs.google.com/spreadsheets/d/1IYY_tgx_IHuhSq3AJ5eI5OnqOPBNLWSHKh2a30DoXe8/edit?usp=sharing"",""พังงา!I459"")"),400)</f>
        <v>400</v>
      </c>
      <c r="J564" s="377">
        <f ca="1">IFERROR(__xludf.DUMMYFUNCTION("IMPORTRANGE(""https://docs.google.com/spreadsheets/d/1IYY_tgx_IHuhSq3AJ5eI5OnqOPBNLWSHKh2a30DoXe8/edit?usp=sharing"",""พังงา!J459"")"),635)</f>
        <v>635</v>
      </c>
      <c r="K564" s="378">
        <f ca="1">IF(I564&gt;0,J564*100/I564,0)</f>
        <v>158.75</v>
      </c>
      <c r="L564" s="379">
        <f ca="1">IFERROR(__xludf.DUMMYFUNCTION("IMPORTRANGE(""https://docs.google.com/spreadsheets/d/1IYY_tgx_IHuhSq3AJ5eI5OnqOPBNLWSHKh2a30DoXe8/edit?usp=sharing"",""พังงา!L459"")"),126880)</f>
        <v>126880</v>
      </c>
      <c r="M564" s="379"/>
      <c r="N564" s="379">
        <f ca="1">IFERROR(__xludf.DUMMYFUNCTION("IMPORTRANGE(""https://docs.google.com/spreadsheets/d/1IYY_tgx_IHuhSq3AJ5eI5OnqOPBNLWSHKh2a30DoXe8/edit?usp=sharing"",""พังงา!M459"")"),46400)</f>
        <v>46400</v>
      </c>
      <c r="O564" s="379">
        <f t="shared" ref="O564:O568" ca="1" si="122">+IF(L564&gt;0,N564*100/L564,0)</f>
        <v>36.569987389659524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IFERROR(__xludf.DUMMYFUNCTION("IMPORTRANGE(""https://docs.google.com/spreadsheets/d/1IYY_tgx_IHuhSq3AJ5eI5OnqOPBNLWSHKh2a30DoXe8/edit?usp=sharing"",""พังงา!L460"")"),0)</f>
        <v>0</v>
      </c>
      <c r="M565" s="168"/>
      <c r="N565" s="175">
        <f ca="1">IFERROR(__xludf.DUMMYFUNCTION("IMPORTRANGE(""https://docs.google.com/spreadsheets/d/1IYY_tgx_IHuhSq3AJ5eI5OnqOPBNLWSHKh2a30DoXe8/edit?usp=sharing"",""พังงา!M460"")"),0)</f>
        <v>0</v>
      </c>
      <c r="O565" s="175">
        <f t="shared" ca="1" si="122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IFERROR(__xludf.DUMMYFUNCTION("IMPORTRANGE(""https://docs.google.com/spreadsheets/d/1IYY_tgx_IHuhSq3AJ5eI5OnqOPBNLWSHKh2a30DoXe8/edit?usp=sharing"",""พังงา!L461"")"),126880)</f>
        <v>126880</v>
      </c>
      <c r="M566" s="169"/>
      <c r="N566" s="175">
        <f ca="1">IFERROR(__xludf.DUMMYFUNCTION("IMPORTRANGE(""https://docs.google.com/spreadsheets/d/1IYY_tgx_IHuhSq3AJ5eI5OnqOPBNLWSHKh2a30DoXe8/edit?usp=sharing"",""พังงา!M461"")"),46400)</f>
        <v>46400</v>
      </c>
      <c r="O566" s="175">
        <f t="shared" ca="1" si="122"/>
        <v>36.569987389659524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IFERROR(__xludf.DUMMYFUNCTION("IMPORTRANGE(""https://docs.google.com/spreadsheets/d/1IYY_tgx_IHuhSq3AJ5eI5OnqOPBNLWSHKh2a30DoXe8/edit?usp=sharing"",""พังงา!L462"")"),0)</f>
        <v>0</v>
      </c>
      <c r="M567" s="175"/>
      <c r="N567" s="175">
        <f ca="1">IFERROR(__xludf.DUMMYFUNCTION("IMPORTRANGE(""https://docs.google.com/spreadsheets/d/1IYY_tgx_IHuhSq3AJ5eI5OnqOPBNLWSHKh2a30DoXe8/edit?usp=sharing"",""พังงา!M462"")"),0)</f>
        <v>0</v>
      </c>
      <c r="O567" s="175">
        <f t="shared" ca="1" si="122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IFERROR(__xludf.DUMMYFUNCTION("IMPORTRANGE(""https://docs.google.com/spreadsheets/d/1IYY_tgx_IHuhSq3AJ5eI5OnqOPBNLWSHKh2a30DoXe8/edit?usp=sharing"",""พังงา!L463"")"),126880)</f>
        <v>126880</v>
      </c>
      <c r="M568" s="175"/>
      <c r="N568" s="175">
        <f ca="1">IFERROR(__xludf.DUMMYFUNCTION("IMPORTRANGE(""https://docs.google.com/spreadsheets/d/1IYY_tgx_IHuhSq3AJ5eI5OnqOPBNLWSHKh2a30DoXe8/edit?usp=sharing"",""พังงา!M463"")"),46400)</f>
        <v>46400</v>
      </c>
      <c r="O568" s="175">
        <f t="shared" ca="1" si="122"/>
        <v>36.569987389659524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IFERROR(__xludf.DUMMYFUNCTION("IMPORTRANGE(""https://docs.google.com/spreadsheets/d/1IYY_tgx_IHuhSq3AJ5eI5OnqOPBNLWSHKh2a30DoXe8/edit?usp=sharing"",""พังงา!M464"")"),0)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IFERROR(__xludf.DUMMYFUNCTION("IMPORTRANGE(""https://docs.google.com/spreadsheets/d/1IYY_tgx_IHuhSq3AJ5eI5OnqOPBNLWSHKh2a30DoXe8/edit?usp=sharing"",""พังงา!M465"")"),0)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IFERROR(__xludf.DUMMYFUNCTION("IMPORTRANGE(""https://docs.google.com/spreadsheets/d/1IYY_tgx_IHuhSq3AJ5eI5OnqOPBNLWSHKh2a30DoXe8/edit?usp=sharing"",""พังงา!M466"")"),44000)</f>
        <v>44000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IFERROR(__xludf.DUMMYFUNCTION("IMPORTRANGE(""https://docs.google.com/spreadsheets/d/1IYY_tgx_IHuhSq3AJ5eI5OnqOPBNLWSHKh2a30DoXe8/edit?usp=sharing"",""พังงา!M467"")"),2400)</f>
        <v>2400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IFERROR(__xludf.DUMMYFUNCTION("IMPORTRANGE(""https://docs.google.com/spreadsheets/d/1IYY_tgx_IHuhSq3AJ5eI5OnqOPBNLWSHKh2a30DoXe8/edit?usp=sharing"",""พังงา!I468"")"),400)</f>
        <v>400</v>
      </c>
      <c r="J573" s="426">
        <f ca="1">IFERROR(__xludf.DUMMYFUNCTION("IMPORTRANGE(""https://docs.google.com/spreadsheets/d/1IYY_tgx_IHuhSq3AJ5eI5OnqOPBNLWSHKh2a30DoXe8/edit?usp=sharing"",""พังงา!J468"")"),635)</f>
        <v>635</v>
      </c>
      <c r="K573" s="208">
        <f ca="1">IF(I573&gt;0,J573*100/I573,0)</f>
        <v>158.75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IFERROR(__xludf.DUMMYFUNCTION("IMPORTRANGE(""https://docs.google.com/spreadsheets/d/1IYY_tgx_IHuhSq3AJ5eI5OnqOPBNLWSHKh2a30DoXe8/edit?usp=sharing"",""พังงา!I470"")"),0)</f>
        <v>0</v>
      </c>
      <c r="J575" s="204">
        <f ca="1">IFERROR(__xludf.DUMMYFUNCTION("IMPORTRANGE(""https://docs.google.com/spreadsheets/d/1IYY_tgx_IHuhSq3AJ5eI5OnqOPBNLWSHKh2a30DoXe8/edit?usp=sharing"",""พังงา!J470"")"),2)</f>
        <v>2</v>
      </c>
      <c r="K575" s="167">
        <f t="shared" ref="K575:K579" ca="1" si="123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IFERROR(__xludf.DUMMYFUNCTION("IMPORTRANGE(""https://docs.google.com/spreadsheets/d/1IYY_tgx_IHuhSq3AJ5eI5OnqOPBNLWSHKh2a30DoXe8/edit?usp=sharing"",""พังงา!I471"")"),0)</f>
        <v>0</v>
      </c>
      <c r="J576" s="204">
        <f ca="1">IFERROR(__xludf.DUMMYFUNCTION("IMPORTRANGE(""https://docs.google.com/spreadsheets/d/1IYY_tgx_IHuhSq3AJ5eI5OnqOPBNLWSHKh2a30DoXe8/edit?usp=sharing"",""พังงา!J471"")"),88)</f>
        <v>88</v>
      </c>
      <c r="K576" s="167">
        <f t="shared" ca="1" si="123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IFERROR(__xludf.DUMMYFUNCTION("IMPORTRANGE(""https://docs.google.com/spreadsheets/d/1IYY_tgx_IHuhSq3AJ5eI5OnqOPBNLWSHKh2a30DoXe8/edit?usp=sharing"",""พังงา!I472"")"),0)</f>
        <v>0</v>
      </c>
      <c r="J577" s="195">
        <f ca="1">IFERROR(__xludf.DUMMYFUNCTION("IMPORTRANGE(""https://docs.google.com/spreadsheets/d/1IYY_tgx_IHuhSq3AJ5eI5OnqOPBNLWSHKh2a30DoXe8/edit?usp=sharing"",""พังงา!J472"")"),547)</f>
        <v>547</v>
      </c>
      <c r="K577" s="167">
        <f t="shared" ca="1" si="123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IFERROR(__xludf.DUMMYFUNCTION("IMPORTRANGE(""https://docs.google.com/spreadsheets/d/1IYY_tgx_IHuhSq3AJ5eI5OnqOPBNLWSHKh2a30DoXe8/edit?usp=sharing"",""พังงา!I473"")"),0)</f>
        <v>0</v>
      </c>
      <c r="J578" s="204">
        <f ca="1">IFERROR(__xludf.DUMMYFUNCTION("IMPORTRANGE(""https://docs.google.com/spreadsheets/d/1IYY_tgx_IHuhSq3AJ5eI5OnqOPBNLWSHKh2a30DoXe8/edit?usp=sharing"",""พังงา!J473"")"),0)</f>
        <v>0</v>
      </c>
      <c r="K578" s="167">
        <f t="shared" ca="1" si="123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IFERROR(__xludf.DUMMYFUNCTION("IMPORTRANGE(""https://docs.google.com/spreadsheets/d/1IYY_tgx_IHuhSq3AJ5eI5OnqOPBNLWSHKh2a30DoXe8/edit?usp=sharing"",""พังงา!I474"")"),0)</f>
        <v>0</v>
      </c>
      <c r="J579" s="204">
        <f ca="1">IFERROR(__xludf.DUMMYFUNCTION("IMPORTRANGE(""https://docs.google.com/spreadsheets/d/1IYY_tgx_IHuhSq3AJ5eI5OnqOPBNLWSHKh2a30DoXe8/edit?usp=sharing"",""พังงา!J474"")"),0)</f>
        <v>0</v>
      </c>
      <c r="K579" s="167">
        <f t="shared" ca="1" si="123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IFERROR(__xludf.DUMMYFUNCTION("IMPORTRANGE(""https://docs.google.com/spreadsheets/d/1IYY_tgx_IHuhSq3AJ5eI5OnqOPBNLWSHKh2a30DoXe8/edit?usp=sharing"",""พังงา!I475"")"),0)</f>
        <v>0</v>
      </c>
      <c r="J580" s="377">
        <f ca="1">IFERROR(__xludf.DUMMYFUNCTION("IMPORTRANGE(""https://docs.google.com/spreadsheets/d/1IYY_tgx_IHuhSq3AJ5eI5OnqOPBNLWSHKh2a30DoXe8/edit?usp=sharing"",""พังงา!J475"")"),0)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IFERROR(__xludf.DUMMYFUNCTION("IMPORTRANGE(""https://docs.google.com/spreadsheets/d/1IYY_tgx_IHuhSq3AJ5eI5OnqOPBNLWSHKh2a30DoXe8/edit?usp=sharing"",""พังงา!L475"")"),0)</f>
        <v>0</v>
      </c>
      <c r="M580" s="379"/>
      <c r="N580" s="379">
        <f ca="1">IFERROR(__xludf.DUMMYFUNCTION("IMPORTRANGE(""https://docs.google.com/spreadsheets/d/1IYY_tgx_IHuhSq3AJ5eI5OnqOPBNLWSHKh2a30DoXe8/edit?usp=sharing"",""พังงา!M475"")"),0)</f>
        <v>0</v>
      </c>
      <c r="O580" s="379">
        <f t="shared" ref="O580:O584" ca="1" si="124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IFERROR(__xludf.DUMMYFUNCTION("IMPORTRANGE(""https://docs.google.com/spreadsheets/d/1IYY_tgx_IHuhSq3AJ5eI5OnqOPBNLWSHKh2a30DoXe8/edit?usp=sharing"",""พังงา!L476"")"),0)</f>
        <v>0</v>
      </c>
      <c r="M581" s="168"/>
      <c r="N581" s="175">
        <f ca="1">IFERROR(__xludf.DUMMYFUNCTION("IMPORTRANGE(""https://docs.google.com/spreadsheets/d/1IYY_tgx_IHuhSq3AJ5eI5OnqOPBNLWSHKh2a30DoXe8/edit?usp=sharing"",""พังงา!M476"")"),0)</f>
        <v>0</v>
      </c>
      <c r="O581" s="175">
        <f t="shared" ca="1" si="124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IFERROR(__xludf.DUMMYFUNCTION("IMPORTRANGE(""https://docs.google.com/spreadsheets/d/1IYY_tgx_IHuhSq3AJ5eI5OnqOPBNLWSHKh2a30DoXe8/edit?usp=sharing"",""พังงา!L477"")"),0)</f>
        <v>0</v>
      </c>
      <c r="M582" s="169"/>
      <c r="N582" s="175">
        <f ca="1">IFERROR(__xludf.DUMMYFUNCTION("IMPORTRANGE(""https://docs.google.com/spreadsheets/d/1IYY_tgx_IHuhSq3AJ5eI5OnqOPBNLWSHKh2a30DoXe8/edit?usp=sharing"",""พังงา!M477"")"),0)</f>
        <v>0</v>
      </c>
      <c r="O582" s="175">
        <f t="shared" ca="1" si="124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IFERROR(__xludf.DUMMYFUNCTION("IMPORTRANGE(""https://docs.google.com/spreadsheets/d/1IYY_tgx_IHuhSq3AJ5eI5OnqOPBNLWSHKh2a30DoXe8/edit?usp=sharing"",""พังงา!L478"")"),0)</f>
        <v>0</v>
      </c>
      <c r="M583" s="175"/>
      <c r="N583" s="175">
        <f ca="1">IFERROR(__xludf.DUMMYFUNCTION("IMPORTRANGE(""https://docs.google.com/spreadsheets/d/1IYY_tgx_IHuhSq3AJ5eI5OnqOPBNLWSHKh2a30DoXe8/edit?usp=sharing"",""พังงา!M478"")"),0)</f>
        <v>0</v>
      </c>
      <c r="O583" s="175">
        <f t="shared" ca="1" si="124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IFERROR(__xludf.DUMMYFUNCTION("IMPORTRANGE(""https://docs.google.com/spreadsheets/d/1IYY_tgx_IHuhSq3AJ5eI5OnqOPBNLWSHKh2a30DoXe8/edit?usp=sharing"",""พังงา!L479"")"),0)</f>
        <v>0</v>
      </c>
      <c r="M584" s="175"/>
      <c r="N584" s="175">
        <f ca="1">IFERROR(__xludf.DUMMYFUNCTION("IMPORTRANGE(""https://docs.google.com/spreadsheets/d/1IYY_tgx_IHuhSq3AJ5eI5OnqOPBNLWSHKh2a30DoXe8/edit?usp=sharing"",""พังงา!M479"")"),0)</f>
        <v>0</v>
      </c>
      <c r="O584" s="175">
        <f t="shared" ca="1" si="124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IFERROR(__xludf.DUMMYFUNCTION("IMPORTRANGE(""https://docs.google.com/spreadsheets/d/1IYY_tgx_IHuhSq3AJ5eI5OnqOPBNLWSHKh2a30DoXe8/edit?usp=sharing"",""พังงา!M480"")"),0)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IFERROR(__xludf.DUMMYFUNCTION("IMPORTRANGE(""https://docs.google.com/spreadsheets/d/1IYY_tgx_IHuhSq3AJ5eI5OnqOPBNLWSHKh2a30DoXe8/edit?usp=sharing"",""พังงา!M481"")"),0)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IFERROR(__xludf.DUMMYFUNCTION("IMPORTRANGE(""https://docs.google.com/spreadsheets/d/1IYY_tgx_IHuhSq3AJ5eI5OnqOPBNLWSHKh2a30DoXe8/edit?usp=sharing"",""พังงา!M482"")"),0)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IFERROR(__xludf.DUMMYFUNCTION("IMPORTRANGE(""https://docs.google.com/spreadsheets/d/1IYY_tgx_IHuhSq3AJ5eI5OnqOPBNLWSHKh2a30DoXe8/edit?usp=sharing"",""พังงา!M483"")"),0)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IFERROR(__xludf.DUMMYFUNCTION("IMPORTRANGE(""https://docs.google.com/spreadsheets/d/1IYY_tgx_IHuhSq3AJ5eI5OnqOPBNLWSHKh2a30DoXe8/edit?usp=sharing"",""พังงา!I484"")"),0)</f>
        <v>0</v>
      </c>
      <c r="J589" s="194">
        <f ca="1">IFERROR(__xludf.DUMMYFUNCTION("IMPORTRANGE(""https://docs.google.com/spreadsheets/d/1IYY_tgx_IHuhSq3AJ5eI5OnqOPBNLWSHKh2a30DoXe8/edit?usp=sharing"",""พังงา!J484"")"),0)</f>
        <v>0</v>
      </c>
      <c r="K589" s="167">
        <f t="shared" ref="K589:K596" ca="1" si="125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IFERROR(__xludf.DUMMYFUNCTION("IMPORTRANGE(""https://docs.google.com/spreadsheets/d/1IYY_tgx_IHuhSq3AJ5eI5OnqOPBNLWSHKh2a30DoXe8/edit?usp=sharing"",""พังงา!I485"")"),0)</f>
        <v>0</v>
      </c>
      <c r="J590" s="194">
        <f ca="1">IFERROR(__xludf.DUMMYFUNCTION("IMPORTRANGE(""https://docs.google.com/spreadsheets/d/1IYY_tgx_IHuhSq3AJ5eI5OnqOPBNLWSHKh2a30DoXe8/edit?usp=sharing"",""พังงา!J485"")"),0)</f>
        <v>0</v>
      </c>
      <c r="K590" s="485">
        <f t="shared" ca="1" si="125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IFERROR(__xludf.DUMMYFUNCTION("IMPORTRANGE(""https://docs.google.com/spreadsheets/d/1IYY_tgx_IHuhSq3AJ5eI5OnqOPBNLWSHKh2a30DoXe8/edit?usp=sharing"",""พังงา!I486"")"),0)</f>
        <v>0</v>
      </c>
      <c r="J591" s="194">
        <f ca="1">IFERROR(__xludf.DUMMYFUNCTION("IMPORTRANGE(""https://docs.google.com/spreadsheets/d/1IYY_tgx_IHuhSq3AJ5eI5OnqOPBNLWSHKh2a30DoXe8/edit?usp=sharing"",""พังงา!J486"")"),0)</f>
        <v>0</v>
      </c>
      <c r="K591" s="167">
        <f t="shared" ca="1" si="125"/>
        <v>0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IFERROR(__xludf.DUMMYFUNCTION("IMPORTRANGE(""https://docs.google.com/spreadsheets/d/1IYY_tgx_IHuhSq3AJ5eI5OnqOPBNLWSHKh2a30DoXe8/edit?usp=sharing"",""พังงา!I487"")"),0)</f>
        <v>0</v>
      </c>
      <c r="J592" s="194">
        <f ca="1">IFERROR(__xludf.DUMMYFUNCTION("IMPORTRANGE(""https://docs.google.com/spreadsheets/d/1IYY_tgx_IHuhSq3AJ5eI5OnqOPBNLWSHKh2a30DoXe8/edit?usp=sharing"",""พังงา!J487"")"),0)</f>
        <v>0</v>
      </c>
      <c r="K592" s="348">
        <f t="shared" ca="1" si="125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IFERROR(__xludf.DUMMYFUNCTION("IMPORTRANGE(""https://docs.google.com/spreadsheets/d/1IYY_tgx_IHuhSq3AJ5eI5OnqOPBNLWSHKh2a30DoXe8/edit?usp=sharing"",""พังงา!I488"")"),0)</f>
        <v>0</v>
      </c>
      <c r="J593" s="194">
        <f ca="1">IFERROR(__xludf.DUMMYFUNCTION("IMPORTRANGE(""https://docs.google.com/spreadsheets/d/1IYY_tgx_IHuhSq3AJ5eI5OnqOPBNLWSHKh2a30DoXe8/edit?usp=sharing"",""พังงา!J488"")"),0)</f>
        <v>0</v>
      </c>
      <c r="K593" s="167">
        <f t="shared" ca="1" si="125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IFERROR(__xludf.DUMMYFUNCTION("IMPORTRANGE(""https://docs.google.com/spreadsheets/d/1IYY_tgx_IHuhSq3AJ5eI5OnqOPBNLWSHKh2a30DoXe8/edit?usp=sharing"",""พังงา!I489"")"),0)</f>
        <v>0</v>
      </c>
      <c r="J594" s="194">
        <f ca="1">IFERROR(__xludf.DUMMYFUNCTION("IMPORTRANGE(""https://docs.google.com/spreadsheets/d/1IYY_tgx_IHuhSq3AJ5eI5OnqOPBNLWSHKh2a30DoXe8/edit?usp=sharing"",""พังงา!J489"")"),0)</f>
        <v>0</v>
      </c>
      <c r="K594" s="348">
        <f t="shared" ca="1" si="125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IFERROR(__xludf.DUMMYFUNCTION("IMPORTRANGE(""https://docs.google.com/spreadsheets/d/1IYY_tgx_IHuhSq3AJ5eI5OnqOPBNLWSHKh2a30DoXe8/edit?usp=sharing"",""พังงา!I490"")"),0)</f>
        <v>0</v>
      </c>
      <c r="J595" s="194">
        <f ca="1">IFERROR(__xludf.DUMMYFUNCTION("IMPORTRANGE(""https://docs.google.com/spreadsheets/d/1IYY_tgx_IHuhSq3AJ5eI5OnqOPBNLWSHKh2a30DoXe8/edit?usp=sharing"",""พังงา!J490"")"),0)</f>
        <v>0</v>
      </c>
      <c r="K595" s="167">
        <f t="shared" ca="1" si="125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IFERROR(__xludf.DUMMYFUNCTION("IMPORTRANGE(""https://docs.google.com/spreadsheets/d/1IYY_tgx_IHuhSq3AJ5eI5OnqOPBNLWSHKh2a30DoXe8/edit?usp=sharing"",""พังงา!I491"")"),0)</f>
        <v>0</v>
      </c>
      <c r="J596" s="247">
        <f ca="1">IFERROR(__xludf.DUMMYFUNCTION("IMPORTRANGE(""https://docs.google.com/spreadsheets/d/1IYY_tgx_IHuhSq3AJ5eI5OnqOPBNLWSHKh2a30DoXe8/edit?usp=sharing"",""พังงา!J491"")"),0)</f>
        <v>0</v>
      </c>
      <c r="K596" s="492">
        <f t="shared" ca="1" si="125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IFERROR(__xludf.DUMMYFUNCTION("IMPORTRANGE(""https://docs.google.com/spreadsheets/d/1IYY_tgx_IHuhSq3AJ5eI5OnqOPBNLWSHKh2a30DoXe8/edit?usp=sharing"",""พังงา!I492"")"),50)</f>
        <v>50</v>
      </c>
      <c r="J597" s="493">
        <f ca="1">IFERROR(__xludf.DUMMYFUNCTION("IMPORTRANGE(""https://docs.google.com/spreadsheets/d/1IYY_tgx_IHuhSq3AJ5eI5OnqOPBNLWSHKh2a30DoXe8/edit?usp=sharing"",""พังงา!J492"")"),0)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IFERROR(__xludf.DUMMYFUNCTION("IMPORTRANGE(""https://docs.google.com/spreadsheets/d/1IYY_tgx_IHuhSq3AJ5eI5OnqOPBNLWSHKh2a30DoXe8/edit?usp=sharing"",""พังงา!L492"")"),5350)</f>
        <v>5350</v>
      </c>
      <c r="M597" s="418"/>
      <c r="N597" s="418">
        <f ca="1">IFERROR(__xludf.DUMMYFUNCTION("IMPORTRANGE(""https://docs.google.com/spreadsheets/d/1IYY_tgx_IHuhSq3AJ5eI5OnqOPBNLWSHKh2a30DoXe8/edit?usp=sharing"",""พังงา!M492"")"),1920)</f>
        <v>1920</v>
      </c>
      <c r="O597" s="418">
        <f t="shared" ref="O597:O601" ca="1" si="126">+IF(L597&gt;0,N597*100/L597,0)</f>
        <v>35.887850467289717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IFERROR(__xludf.DUMMYFUNCTION("IMPORTRANGE(""https://docs.google.com/spreadsheets/d/1IYY_tgx_IHuhSq3AJ5eI5OnqOPBNLWSHKh2a30DoXe8/edit?usp=sharing"",""พังงา!L493"")"),0)</f>
        <v>0</v>
      </c>
      <c r="M598" s="168"/>
      <c r="N598" s="175">
        <f ca="1">IFERROR(__xludf.DUMMYFUNCTION("IMPORTRANGE(""https://docs.google.com/spreadsheets/d/1IYY_tgx_IHuhSq3AJ5eI5OnqOPBNLWSHKh2a30DoXe8/edit?usp=sharing"",""พังงา!M493"")"),0)</f>
        <v>0</v>
      </c>
      <c r="O598" s="175">
        <f t="shared" ca="1" si="126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IFERROR(__xludf.DUMMYFUNCTION("IMPORTRANGE(""https://docs.google.com/spreadsheets/d/1IYY_tgx_IHuhSq3AJ5eI5OnqOPBNLWSHKh2a30DoXe8/edit?usp=sharing"",""พังงา!L494"")"),5350)</f>
        <v>5350</v>
      </c>
      <c r="M599" s="169"/>
      <c r="N599" s="175">
        <f ca="1">IFERROR(__xludf.DUMMYFUNCTION("IMPORTRANGE(""https://docs.google.com/spreadsheets/d/1IYY_tgx_IHuhSq3AJ5eI5OnqOPBNLWSHKh2a30DoXe8/edit?usp=sharing"",""พังงา!M494"")"),1920)</f>
        <v>1920</v>
      </c>
      <c r="O599" s="175">
        <f t="shared" ca="1" si="126"/>
        <v>35.887850467289717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IFERROR(__xludf.DUMMYFUNCTION("IMPORTRANGE(""https://docs.google.com/spreadsheets/d/1IYY_tgx_IHuhSq3AJ5eI5OnqOPBNLWSHKh2a30DoXe8/edit?usp=sharing"",""พังงา!L495"")"),0)</f>
        <v>0</v>
      </c>
      <c r="M600" s="175"/>
      <c r="N600" s="175">
        <f ca="1">IFERROR(__xludf.DUMMYFUNCTION("IMPORTRANGE(""https://docs.google.com/spreadsheets/d/1IYY_tgx_IHuhSq3AJ5eI5OnqOPBNLWSHKh2a30DoXe8/edit?usp=sharing"",""พังงา!M495"")"),0)</f>
        <v>0</v>
      </c>
      <c r="O600" s="175">
        <f t="shared" ca="1" si="126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IFERROR(__xludf.DUMMYFUNCTION("IMPORTRANGE(""https://docs.google.com/spreadsheets/d/1IYY_tgx_IHuhSq3AJ5eI5OnqOPBNLWSHKh2a30DoXe8/edit?usp=sharing"",""พังงา!L496"")"),5350)</f>
        <v>5350</v>
      </c>
      <c r="M601" s="175"/>
      <c r="N601" s="175">
        <f ca="1">IFERROR(__xludf.DUMMYFUNCTION("IMPORTRANGE(""https://docs.google.com/spreadsheets/d/1IYY_tgx_IHuhSq3AJ5eI5OnqOPBNLWSHKh2a30DoXe8/edit?usp=sharing"",""พังงา!M496"")"),1920)</f>
        <v>1920</v>
      </c>
      <c r="O601" s="175">
        <f t="shared" ca="1" si="126"/>
        <v>35.887850467289717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IFERROR(__xludf.DUMMYFUNCTION("IMPORTRANGE(""https://docs.google.com/spreadsheets/d/1IYY_tgx_IHuhSq3AJ5eI5OnqOPBNLWSHKh2a30DoXe8/edit?usp=sharing"",""พังงา!M497"")"),0)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IFERROR(__xludf.DUMMYFUNCTION("IMPORTRANGE(""https://docs.google.com/spreadsheets/d/1IYY_tgx_IHuhSq3AJ5eI5OnqOPBNLWSHKh2a30DoXe8/edit?usp=sharing"",""พังงา!M498"")"),0)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IFERROR(__xludf.DUMMYFUNCTION("IMPORTRANGE(""https://docs.google.com/spreadsheets/d/1IYY_tgx_IHuhSq3AJ5eI5OnqOPBNLWSHKh2a30DoXe8/edit?usp=sharing"",""พังงา!M499"")"),0)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IFERROR(__xludf.DUMMYFUNCTION("IMPORTRANGE(""https://docs.google.com/spreadsheets/d/1IYY_tgx_IHuhSq3AJ5eI5OnqOPBNLWSHKh2a30DoXe8/edit?usp=sharing"",""พังงา!M500"")"),1920)</f>
        <v>1920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IFERROR(__xludf.DUMMYFUNCTION("IMPORTRANGE(""https://docs.google.com/spreadsheets/d/1IYY_tgx_IHuhSq3AJ5eI5OnqOPBNLWSHKh2a30DoXe8/edit?usp=sharing"",""พังงา!J502"")"),0)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IFERROR(__xludf.DUMMYFUNCTION("IMPORTRANGE(""https://docs.google.com/spreadsheets/d/1IYY_tgx_IHuhSq3AJ5eI5OnqOPBNLWSHKh2a30DoXe8/edit?usp=sharing"",""พังงา!J503"")"),1)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IFERROR(__xludf.DUMMYFUNCTION("IMPORTRANGE(""https://docs.google.com/spreadsheets/d/1IYY_tgx_IHuhSq3AJ5eI5OnqOPBNLWSHKh2a30DoXe8/edit?usp=sharing"",""พังงา!J166"")"),0)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IFERROR(__xludf.DUMMYFUNCTION("IMPORTRANGE(""https://docs.google.com/spreadsheets/d/1IYY_tgx_IHuhSq3AJ5eI5OnqOPBNLWSHKh2a30DoXe8/edit?usp=sharing"",""พังงา!J166"")"),0)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IFERROR(__xludf.DUMMYFUNCTION("IMPORTRANGE(""https://docs.google.com/spreadsheets/d/1IYY_tgx_IHuhSq3AJ5eI5OnqOPBNLWSHKh2a30DoXe8/edit?usp=sharing"",""พังงา!I506"")"),50)</f>
        <v>50</v>
      </c>
      <c r="J611" s="166">
        <f ca="1">IFERROR(__xludf.DUMMYFUNCTION("IMPORTRANGE(""https://docs.google.com/spreadsheets/d/1IYY_tgx_IHuhSq3AJ5eI5OnqOPBNLWSHKh2a30DoXe8/edit?usp=sharing"",""พังงา!J506"")"),0)</f>
        <v>0</v>
      </c>
      <c r="K611" s="167">
        <f t="shared" ref="K611:K619" ca="1" si="127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IFERROR(__xludf.DUMMYFUNCTION("IMPORTRANGE(""https://docs.google.com/spreadsheets/d/1IYY_tgx_IHuhSq3AJ5eI5OnqOPBNLWSHKh2a30DoXe8/edit?usp=sharing"",""พังงา!I507"")"),0)</f>
        <v>0</v>
      </c>
      <c r="J612" s="204">
        <f ca="1">IFERROR(__xludf.DUMMYFUNCTION("IMPORTRANGE(""https://docs.google.com/spreadsheets/d/1IYY_tgx_IHuhSq3AJ5eI5OnqOPBNLWSHKh2a30DoXe8/edit?usp=sharing"",""พังงา!J507"")"),0)</f>
        <v>0</v>
      </c>
      <c r="K612" s="167">
        <f t="shared" ca="1" si="127"/>
        <v>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IFERROR(__xludf.DUMMYFUNCTION("IMPORTRANGE(""https://docs.google.com/spreadsheets/d/1IYY_tgx_IHuhSq3AJ5eI5OnqOPBNLWSHKh2a30DoXe8/edit?usp=sharing"",""พังงา!I508"")"),0)</f>
        <v>0</v>
      </c>
      <c r="J613" s="204">
        <f ca="1">IFERROR(__xludf.DUMMYFUNCTION("IMPORTRANGE(""https://docs.google.com/spreadsheets/d/1IYY_tgx_IHuhSq3AJ5eI5OnqOPBNLWSHKh2a30DoXe8/edit?usp=sharing"",""พังงา!J508"")"),0)</f>
        <v>0</v>
      </c>
      <c r="K613" s="167">
        <f t="shared" ca="1" si="127"/>
        <v>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IFERROR(__xludf.DUMMYFUNCTION("IMPORTRANGE(""https://docs.google.com/spreadsheets/d/1IYY_tgx_IHuhSq3AJ5eI5OnqOPBNLWSHKh2a30DoXe8/edit?usp=sharing"",""พังงา!I509"")"),0)</f>
        <v>0</v>
      </c>
      <c r="J614" s="204">
        <f ca="1">IFERROR(__xludf.DUMMYFUNCTION("IMPORTRANGE(""https://docs.google.com/spreadsheets/d/1IYY_tgx_IHuhSq3AJ5eI5OnqOPBNLWSHKh2a30DoXe8/edit?usp=sharing"",""พังงา!J509"")"),0)</f>
        <v>0</v>
      </c>
      <c r="K614" s="167">
        <f t="shared" ca="1" si="127"/>
        <v>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IFERROR(__xludf.DUMMYFUNCTION("IMPORTRANGE(""https://docs.google.com/spreadsheets/d/1IYY_tgx_IHuhSq3AJ5eI5OnqOPBNLWSHKh2a30DoXe8/edit?usp=sharing"",""พังงา!I510"")"),0)</f>
        <v>0</v>
      </c>
      <c r="J615" s="204">
        <f ca="1">IFERROR(__xludf.DUMMYFUNCTION("IMPORTRANGE(""https://docs.google.com/spreadsheets/d/1IYY_tgx_IHuhSq3AJ5eI5OnqOPBNLWSHKh2a30DoXe8/edit?usp=sharing"",""พังงา!J510"")"),0)</f>
        <v>0</v>
      </c>
      <c r="K615" s="167">
        <f t="shared" ca="1" si="127"/>
        <v>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IFERROR(__xludf.DUMMYFUNCTION("IMPORTRANGE(""https://docs.google.com/spreadsheets/d/1IYY_tgx_IHuhSq3AJ5eI5OnqOPBNLWSHKh2a30DoXe8/edit?usp=sharing"",""พังงา!I511"")"),0)</f>
        <v>0</v>
      </c>
      <c r="J616" s="204">
        <f ca="1">IFERROR(__xludf.DUMMYFUNCTION("IMPORTRANGE(""https://docs.google.com/spreadsheets/d/1IYY_tgx_IHuhSq3AJ5eI5OnqOPBNLWSHKh2a30DoXe8/edit?usp=sharing"",""พังงา!J511"")"),0)</f>
        <v>0</v>
      </c>
      <c r="K616" s="167">
        <f t="shared" ca="1" si="127"/>
        <v>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IFERROR(__xludf.DUMMYFUNCTION("IMPORTRANGE(""https://docs.google.com/spreadsheets/d/1IYY_tgx_IHuhSq3AJ5eI5OnqOPBNLWSHKh2a30DoXe8/edit?usp=sharing"",""พังงา!I512"")"),0)</f>
        <v>0</v>
      </c>
      <c r="J617" s="194">
        <f ca="1">IFERROR(__xludf.DUMMYFUNCTION("IMPORTRANGE(""https://docs.google.com/spreadsheets/d/1IYY_tgx_IHuhSq3AJ5eI5OnqOPBNLWSHKh2a30DoXe8/edit?usp=sharing"",""พังงา!J512"")"),0)</f>
        <v>0</v>
      </c>
      <c r="K617" s="167">
        <f t="shared" ca="1" si="127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IFERROR(__xludf.DUMMYFUNCTION("IMPORTRANGE(""https://docs.google.com/spreadsheets/d/1IYY_tgx_IHuhSq3AJ5eI5OnqOPBNLWSHKh2a30DoXe8/edit?usp=sharing"",""พังงา!I513"")"),0)</f>
        <v>0</v>
      </c>
      <c r="J618" s="195">
        <f ca="1">IFERROR(__xludf.DUMMYFUNCTION("IMPORTRANGE(""https://docs.google.com/spreadsheets/d/1IYY_tgx_IHuhSq3AJ5eI5OnqOPBNLWSHKh2a30DoXe8/edit?usp=sharing"",""พังงา!J513"")"),0)</f>
        <v>0</v>
      </c>
      <c r="K618" s="167">
        <f t="shared" ca="1" si="127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IFERROR(__xludf.DUMMYFUNCTION("IMPORTRANGE(""https://docs.google.com/spreadsheets/d/1IYY_tgx_IHuhSq3AJ5eI5OnqOPBNLWSHKh2a30DoXe8/edit?usp=sharing"",""พังงา!I514"")"),0)</f>
        <v>0</v>
      </c>
      <c r="J619" s="195">
        <f ca="1">IFERROR(__xludf.DUMMYFUNCTION("IMPORTRANGE(""https://docs.google.com/spreadsheets/d/1IYY_tgx_IHuhSq3AJ5eI5OnqOPBNLWSHKh2a30DoXe8/edit?usp=sharing"",""พังงา!J514"")"),0)</f>
        <v>0</v>
      </c>
      <c r="K619" s="167">
        <f t="shared" ca="1" si="127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IFERROR(__xludf.DUMMYFUNCTION("IMPORTRANGE(""https://docs.google.com/spreadsheets/d/1IYY_tgx_IHuhSq3AJ5eI5OnqOPBNLWSHKh2a30DoXe8/edit?usp=sharing"",""พังงา!I515"")"),0)</f>
        <v>0</v>
      </c>
      <c r="J620" s="209">
        <f ca="1">IFERROR(__xludf.DUMMYFUNCTION("IMPORTRANGE(""https://docs.google.com/spreadsheets/d/1IYY_tgx_IHuhSq3AJ5eI5OnqOPBNLWSHKh2a30DoXe8/edit?usp=sharing"",""พังงา!J515"")"),0)</f>
        <v>0</v>
      </c>
      <c r="K620" s="167">
        <f t="shared" ref="K620:K626" ca="1" si="128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IFERROR(__xludf.DUMMYFUNCTION("IMPORTRANGE(""https://docs.google.com/spreadsheets/d/1IYY_tgx_IHuhSq3AJ5eI5OnqOPBNLWSHKh2a30DoXe8/edit?usp=sharing"",""พังงา!I516"")"),0)</f>
        <v>0</v>
      </c>
      <c r="J621" s="209">
        <f ca="1">IFERROR(__xludf.DUMMYFUNCTION("IMPORTRANGE(""https://docs.google.com/spreadsheets/d/1IYY_tgx_IHuhSq3AJ5eI5OnqOPBNLWSHKh2a30DoXe8/edit?usp=sharing"",""พังงา!J516"")"),0)</f>
        <v>0</v>
      </c>
      <c r="K621" s="167">
        <f t="shared" ca="1" si="128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IFERROR(__xludf.DUMMYFUNCTION("IMPORTRANGE(""https://docs.google.com/spreadsheets/d/1IYY_tgx_IHuhSq3AJ5eI5OnqOPBNLWSHKh2a30DoXe8/edit?usp=sharing"",""พังงา!I517"")"),0)</f>
        <v>0</v>
      </c>
      <c r="J622" s="195">
        <f ca="1">IFERROR(__xludf.DUMMYFUNCTION("IMPORTRANGE(""https://docs.google.com/spreadsheets/d/1IYY_tgx_IHuhSq3AJ5eI5OnqOPBNLWSHKh2a30DoXe8/edit?usp=sharing"",""พังงา!J517"")"),0)</f>
        <v>0</v>
      </c>
      <c r="K622" s="167">
        <f t="shared" ca="1" si="128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IFERROR(__xludf.DUMMYFUNCTION("IMPORTRANGE(""https://docs.google.com/spreadsheets/d/1IYY_tgx_IHuhSq3AJ5eI5OnqOPBNLWSHKh2a30DoXe8/edit?usp=sharing"",""พังงา!I518"")"),0)</f>
        <v>0</v>
      </c>
      <c r="J623" s="195">
        <f ca="1">IFERROR(__xludf.DUMMYFUNCTION("IMPORTRANGE(""https://docs.google.com/spreadsheets/d/1IYY_tgx_IHuhSq3AJ5eI5OnqOPBNLWSHKh2a30DoXe8/edit?usp=sharing"",""พังงา!J518"")"),0)</f>
        <v>0</v>
      </c>
      <c r="K623" s="167">
        <f t="shared" ca="1" si="128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IFERROR(__xludf.DUMMYFUNCTION("IMPORTRANGE(""https://docs.google.com/spreadsheets/d/1IYY_tgx_IHuhSq3AJ5eI5OnqOPBNLWSHKh2a30DoXe8/edit?usp=sharing"",""พังงา!I519"")"),0)</f>
        <v>0</v>
      </c>
      <c r="J624" s="194">
        <f ca="1">IFERROR(__xludf.DUMMYFUNCTION("IMPORTRANGE(""https://docs.google.com/spreadsheets/d/1IYY_tgx_IHuhSq3AJ5eI5OnqOPBNLWSHKh2a30DoXe8/edit?usp=sharing"",""พังงา!J519"")"),0)</f>
        <v>0</v>
      </c>
      <c r="K624" s="167">
        <f t="shared" ca="1" si="128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IFERROR(__xludf.DUMMYFUNCTION("IMPORTRANGE(""https://docs.google.com/spreadsheets/d/1IYY_tgx_IHuhSq3AJ5eI5OnqOPBNLWSHKh2a30DoXe8/edit?usp=sharing"",""พังงา!I520"")"),0)</f>
        <v>0</v>
      </c>
      <c r="J625" s="195">
        <f ca="1">IFERROR(__xludf.DUMMYFUNCTION("IMPORTRANGE(""https://docs.google.com/spreadsheets/d/1IYY_tgx_IHuhSq3AJ5eI5OnqOPBNLWSHKh2a30DoXe8/edit?usp=sharing"",""พังงา!J520"")"),0)</f>
        <v>0</v>
      </c>
      <c r="K625" s="167">
        <f t="shared" ca="1" si="128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IFERROR(__xludf.DUMMYFUNCTION("IMPORTRANGE(""https://docs.google.com/spreadsheets/d/1IYY_tgx_IHuhSq3AJ5eI5OnqOPBNLWSHKh2a30DoXe8/edit?usp=sharing"",""พังงา!I521"")"),0)</f>
        <v>0</v>
      </c>
      <c r="J626" s="195">
        <f ca="1">IFERROR(__xludf.DUMMYFUNCTION("IMPORTRANGE(""https://docs.google.com/spreadsheets/d/1IYY_tgx_IHuhSq3AJ5eI5OnqOPBNLWSHKh2a30DoXe8/edit?usp=sharing"",""พังงา!J521"")"),0)</f>
        <v>0</v>
      </c>
      <c r="K626" s="167">
        <f t="shared" ca="1" si="128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IFERROR(__xludf.DUMMYFUNCTION("IMPORTRANGE(""https://docs.google.com/spreadsheets/d/1IYY_tgx_IHuhSq3AJ5eI5OnqOPBNLWSHKh2a30DoXe8/edit?usp=sharing"",""พังงา!I523"")"),1201269.01)</f>
        <v>1201269.01</v>
      </c>
      <c r="J628" s="347">
        <f ca="1">IFERROR(__xludf.DUMMYFUNCTION("IMPORTRANGE(""https://docs.google.com/spreadsheets/d/1IYY_tgx_IHuhSq3AJ5eI5OnqOPBNLWSHKh2a30DoXe8/edit?usp=sharing"",""พังงา!J523"")"),854248.81)</f>
        <v>854248.81</v>
      </c>
      <c r="K628" s="348">
        <f t="shared" ref="K628:K635" ca="1" si="129">IF(I628&gt;0,J628*100/I628,0)</f>
        <v>71.112199090193798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IFERROR(__xludf.DUMMYFUNCTION("IMPORTRANGE(""https://docs.google.com/spreadsheets/d/1IYY_tgx_IHuhSq3AJ5eI5OnqOPBNLWSHKh2a30DoXe8/edit?usp=sharing"",""พังงา!I524"")"),91)</f>
        <v>91</v>
      </c>
      <c r="J629" s="347">
        <f ca="1">IFERROR(__xludf.DUMMYFUNCTION("IMPORTRANGE(""https://docs.google.com/spreadsheets/d/1IYY_tgx_IHuhSq3AJ5eI5OnqOPBNLWSHKh2a30DoXe8/edit?usp=sharing"",""พังงา!J524"")"),64)</f>
        <v>64</v>
      </c>
      <c r="K629" s="348">
        <f t="shared" ca="1" si="129"/>
        <v>70.329670329670336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IFERROR(__xludf.DUMMYFUNCTION("IMPORTRANGE(""https://docs.google.com/spreadsheets/d/1IYY_tgx_IHuhSq3AJ5eI5OnqOPBNLWSHKh2a30DoXe8/edit?usp=sharing"",""พังงา!I525"")"),363408.27)</f>
        <v>363408.27</v>
      </c>
      <c r="J630" s="347">
        <f ca="1">IFERROR(__xludf.DUMMYFUNCTION("IMPORTRANGE(""https://docs.google.com/spreadsheets/d/1IYY_tgx_IHuhSq3AJ5eI5OnqOPBNLWSHKh2a30DoXe8/edit?usp=sharing"",""พังงา!J525"")"),64902.99)</f>
        <v>64902.99</v>
      </c>
      <c r="K630" s="348">
        <f t="shared" ca="1" si="129"/>
        <v>17.859524770858958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IFERROR(__xludf.DUMMYFUNCTION("IMPORTRANGE(""https://docs.google.com/spreadsheets/d/1IYY_tgx_IHuhSq3AJ5eI5OnqOPBNLWSHKh2a30DoXe8/edit?usp=sharing"",""พังงา!I526"")"),15)</f>
        <v>15</v>
      </c>
      <c r="J631" s="347">
        <f ca="1">IFERROR(__xludf.DUMMYFUNCTION("IMPORTRANGE(""https://docs.google.com/spreadsheets/d/1IYY_tgx_IHuhSq3AJ5eI5OnqOPBNLWSHKh2a30DoXe8/edit?usp=sharing"",""พังงา!J526"")"),13)</f>
        <v>13</v>
      </c>
      <c r="K631" s="348">
        <f t="shared" ca="1" si="129"/>
        <v>86.666666666666671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IFERROR(__xludf.DUMMYFUNCTION("IMPORTRANGE(""https://docs.google.com/spreadsheets/d/1IYY_tgx_IHuhSq3AJ5eI5OnqOPBNLWSHKh2a30DoXe8/edit?usp=sharing"",""พังงา!I527"")"),17992.36)</f>
        <v>17992.36</v>
      </c>
      <c r="J632" s="347">
        <f ca="1">IFERROR(__xludf.DUMMYFUNCTION("IMPORTRANGE(""https://docs.google.com/spreadsheets/d/1IYY_tgx_IHuhSq3AJ5eI5OnqOPBNLWSHKh2a30DoXe8/edit?usp=sharing"",""พังงา!J527"")"),1513.73)</f>
        <v>1513.73</v>
      </c>
      <c r="K632" s="348">
        <f t="shared" ca="1" si="129"/>
        <v>8.4131820394878716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IFERROR(__xludf.DUMMYFUNCTION("IMPORTRANGE(""https://docs.google.com/spreadsheets/d/1IYY_tgx_IHuhSq3AJ5eI5OnqOPBNLWSHKh2a30DoXe8/edit?usp=sharing"",""พังงา!I528"")"),49)</f>
        <v>49</v>
      </c>
      <c r="J633" s="347">
        <f ca="1">IFERROR(__xludf.DUMMYFUNCTION("IMPORTRANGE(""https://docs.google.com/spreadsheets/d/1IYY_tgx_IHuhSq3AJ5eI5OnqOPBNLWSHKh2a30DoXe8/edit?usp=sharing"",""พังงา!J528"")"),3)</f>
        <v>3</v>
      </c>
      <c r="K633" s="348">
        <f t="shared" ca="1" si="129"/>
        <v>6.1224489795918364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IFERROR(__xludf.DUMMYFUNCTION("IMPORTRANGE(""https://docs.google.com/spreadsheets/d/1IYY_tgx_IHuhSq3AJ5eI5OnqOPBNLWSHKh2a30DoXe8/edit?usp=sharing"",""พังงา!I529"")"),760000)</f>
        <v>760000</v>
      </c>
      <c r="J634" s="347">
        <f ca="1">IFERROR(__xludf.DUMMYFUNCTION("IMPORTRANGE(""https://docs.google.com/spreadsheets/d/1IYY_tgx_IHuhSq3AJ5eI5OnqOPBNLWSHKh2a30DoXe8/edit?usp=sharing"",""พังงา!J529"")"),600000)</f>
        <v>600000</v>
      </c>
      <c r="K634" s="348">
        <f t="shared" ca="1" si="129"/>
        <v>78.94736842105263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IFERROR(__xludf.DUMMYFUNCTION("IMPORTRANGE(""https://docs.google.com/spreadsheets/d/1IYY_tgx_IHuhSq3AJ5eI5OnqOPBNLWSHKh2a30DoXe8/edit?usp=sharing"",""พังงา!I530"")"),19)</f>
        <v>19</v>
      </c>
      <c r="J635" s="517">
        <f ca="1">IFERROR(__xludf.DUMMYFUNCTION("IMPORTRANGE(""https://docs.google.com/spreadsheets/d/1IYY_tgx_IHuhSq3AJ5eI5OnqOPBNLWSHKh2a30DoXe8/edit?usp=sharing"",""พังงา!J530"")"),15)</f>
        <v>15</v>
      </c>
      <c r="K635" s="492">
        <f t="shared" ca="1" si="129"/>
        <v>78.94736842105263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40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FF"/>
    <pageSetUpPr fitToPage="1"/>
  </sheetPr>
  <dimension ref="A1:P1143"/>
  <sheetViews>
    <sheetView view="pageBreakPreview" zoomScale="60" zoomScaleNormal="100" workbookViewId="0">
      <pane ySplit="6" topLeftCell="A7" activePane="bottomLeft" state="frozen"/>
      <selection activeCell="M22" sqref="M22"/>
      <selection pane="bottomLeft" sqref="A1:P1"/>
    </sheetView>
  </sheetViews>
  <sheetFormatPr defaultColWidth="14.453125" defaultRowHeight="15" customHeight="1" x14ac:dyDescent="0.35"/>
  <cols>
    <col min="1" max="3" width="3.08984375" customWidth="1"/>
    <col min="4" max="6" width="5.7265625" customWidth="1"/>
    <col min="7" max="7" width="81" customWidth="1"/>
    <col min="8" max="8" width="10.81640625" customWidth="1"/>
    <col min="9" max="9" width="13.90625" bestFit="1" customWidth="1"/>
    <col min="10" max="10" width="11.90625" bestFit="1" customWidth="1"/>
    <col min="11" max="11" width="10.7265625" bestFit="1" customWidth="1"/>
    <col min="12" max="14" width="17.81640625" bestFit="1" customWidth="1"/>
    <col min="15" max="15" width="18.7265625" bestFit="1" customWidth="1"/>
    <col min="16" max="16" width="20.36328125" bestFit="1" customWidth="1"/>
  </cols>
  <sheetData>
    <row r="1" spans="1:16" ht="18" customHeight="1" x14ac:dyDescent="0.35">
      <c r="A1" s="532" t="s">
        <v>0</v>
      </c>
      <c r="B1" s="532"/>
      <c r="C1" s="532"/>
      <c r="D1" s="532"/>
      <c r="E1" s="532"/>
      <c r="F1" s="532"/>
      <c r="G1" s="532"/>
      <c r="H1" s="532"/>
      <c r="I1" s="532"/>
      <c r="J1" s="532"/>
      <c r="K1" s="532"/>
      <c r="L1" s="532"/>
      <c r="M1" s="532"/>
      <c r="N1" s="532"/>
      <c r="O1" s="532"/>
      <c r="P1" s="532"/>
    </row>
    <row r="2" spans="1:16" ht="18" customHeight="1" x14ac:dyDescent="0.35">
      <c r="A2" s="532" t="s">
        <v>253</v>
      </c>
      <c r="B2" s="532"/>
      <c r="C2" s="532"/>
      <c r="D2" s="532"/>
      <c r="E2" s="532"/>
      <c r="F2" s="532"/>
      <c r="G2" s="532"/>
      <c r="H2" s="532"/>
      <c r="I2" s="532"/>
      <c r="J2" s="532"/>
      <c r="K2" s="532"/>
      <c r="L2" s="532"/>
      <c r="M2" s="532"/>
      <c r="N2" s="532"/>
      <c r="O2" s="532"/>
      <c r="P2" s="532"/>
    </row>
    <row r="3" spans="1:16" ht="18" customHeight="1" x14ac:dyDescent="0.35">
      <c r="A3" s="532" t="s">
        <v>268</v>
      </c>
      <c r="B3" s="532"/>
      <c r="C3" s="532"/>
      <c r="D3" s="532"/>
      <c r="E3" s="532"/>
      <c r="F3" s="532"/>
      <c r="G3" s="532"/>
      <c r="H3" s="532"/>
      <c r="I3" s="532"/>
      <c r="J3" s="532"/>
      <c r="K3" s="532"/>
      <c r="L3" s="532"/>
      <c r="M3" s="532"/>
      <c r="N3" s="532"/>
      <c r="O3" s="532"/>
      <c r="P3" s="532"/>
    </row>
    <row r="4" spans="1:16" ht="33.75" customHeight="1" x14ac:dyDescent="0.35">
      <c r="A4" s="1"/>
      <c r="B4" s="1"/>
      <c r="C4" s="1"/>
      <c r="D4" s="1"/>
      <c r="E4" s="1"/>
      <c r="F4" s="1"/>
      <c r="G4" s="1"/>
      <c r="H4" s="1"/>
      <c r="I4" s="1"/>
      <c r="J4" s="2"/>
      <c r="K4" s="3"/>
      <c r="L4" s="4"/>
      <c r="M4" s="4"/>
      <c r="N4" s="2"/>
      <c r="O4" s="1"/>
      <c r="P4" s="1"/>
    </row>
    <row r="5" spans="1:16" ht="21.75" customHeight="1" x14ac:dyDescent="0.35">
      <c r="A5" s="540" t="s">
        <v>2</v>
      </c>
      <c r="B5" s="541"/>
      <c r="C5" s="541"/>
      <c r="D5" s="541"/>
      <c r="E5" s="541"/>
      <c r="F5" s="541"/>
      <c r="G5" s="542"/>
      <c r="H5" s="533" t="s">
        <v>3</v>
      </c>
      <c r="I5" s="535" t="s">
        <v>4</v>
      </c>
      <c r="J5" s="536"/>
      <c r="K5" s="537"/>
      <c r="L5" s="538" t="s">
        <v>5</v>
      </c>
      <c r="M5" s="537"/>
      <c r="N5" s="539" t="s">
        <v>6</v>
      </c>
      <c r="O5" s="536"/>
      <c r="P5" s="537"/>
    </row>
    <row r="6" spans="1:16" ht="21.75" customHeight="1" x14ac:dyDescent="0.35">
      <c r="A6" s="543"/>
      <c r="B6" s="544"/>
      <c r="C6" s="544"/>
      <c r="D6" s="544"/>
      <c r="E6" s="544"/>
      <c r="F6" s="544"/>
      <c r="G6" s="545"/>
      <c r="H6" s="534"/>
      <c r="I6" s="5" t="s">
        <v>7</v>
      </c>
      <c r="J6" s="6" t="s">
        <v>8</v>
      </c>
      <c r="K6" s="5" t="s">
        <v>9</v>
      </c>
      <c r="L6" s="7" t="s">
        <v>10</v>
      </c>
      <c r="M6" s="8" t="s">
        <v>11</v>
      </c>
      <c r="N6" s="9" t="s">
        <v>12</v>
      </c>
      <c r="O6" s="10" t="s">
        <v>13</v>
      </c>
      <c r="P6" s="11" t="s">
        <v>14</v>
      </c>
    </row>
    <row r="7" spans="1:16" ht="21.75" customHeight="1" x14ac:dyDescent="0.45">
      <c r="A7" s="546" t="s">
        <v>15</v>
      </c>
      <c r="B7" s="536"/>
      <c r="C7" s="536"/>
      <c r="D7" s="536"/>
      <c r="E7" s="536"/>
      <c r="F7" s="536"/>
      <c r="G7" s="537"/>
      <c r="H7" s="12"/>
      <c r="I7" s="13"/>
      <c r="J7" s="13"/>
      <c r="K7" s="14"/>
      <c r="L7" s="15"/>
      <c r="M7" s="14"/>
      <c r="N7" s="15"/>
      <c r="O7" s="16"/>
      <c r="P7" s="16"/>
    </row>
    <row r="8" spans="1:16" ht="21.75" customHeight="1" x14ac:dyDescent="0.45">
      <c r="A8" s="17"/>
      <c r="B8" s="18"/>
      <c r="C8" s="19" t="s">
        <v>16</v>
      </c>
      <c r="D8" s="547" t="s">
        <v>17</v>
      </c>
      <c r="E8" s="531"/>
      <c r="F8" s="531"/>
      <c r="G8" s="531"/>
      <c r="H8" s="20" t="s">
        <v>12</v>
      </c>
      <c r="I8" s="21"/>
      <c r="J8" s="21"/>
      <c r="K8" s="22"/>
      <c r="L8" s="23">
        <f t="shared" ref="L8:N8" ca="1" si="0">L9+L10</f>
        <v>4546661.84</v>
      </c>
      <c r="M8" s="23">
        <f t="shared" ca="1" si="0"/>
        <v>2293380</v>
      </c>
      <c r="N8" s="23">
        <f t="shared" ca="1" si="0"/>
        <v>2360114.08</v>
      </c>
      <c r="O8" s="22">
        <f t="shared" ref="O8:O16" ca="1" si="1">IF(L8&gt;0,N8*100/L8,0)</f>
        <v>51.908722554127756</v>
      </c>
      <c r="P8" s="22">
        <f t="shared" ref="P8:P16" ca="1" si="2">IF(M8&gt;0,N8*100/M8,0)</f>
        <v>102.90985706686202</v>
      </c>
    </row>
    <row r="9" spans="1:16" ht="21.75" customHeight="1" x14ac:dyDescent="0.45">
      <c r="A9" s="24"/>
      <c r="B9" s="25"/>
      <c r="C9" s="25"/>
      <c r="D9" s="25"/>
      <c r="E9" s="25"/>
      <c r="F9" s="25"/>
      <c r="G9" s="26" t="s">
        <v>18</v>
      </c>
      <c r="H9" s="27" t="s">
        <v>12</v>
      </c>
      <c r="I9" s="28"/>
      <c r="J9" s="28"/>
      <c r="K9" s="29"/>
      <c r="L9" s="30">
        <f t="shared" ref="L9:N9" ca="1" si="3">L11+L15</f>
        <v>0</v>
      </c>
      <c r="M9" s="30">
        <f t="shared" si="3"/>
        <v>0</v>
      </c>
      <c r="N9" s="30">
        <f t="shared" ca="1" si="3"/>
        <v>0</v>
      </c>
      <c r="O9" s="29">
        <f t="shared" ca="1" si="1"/>
        <v>0</v>
      </c>
      <c r="P9" s="29">
        <f t="shared" si="2"/>
        <v>0</v>
      </c>
    </row>
    <row r="10" spans="1:16" ht="21.75" customHeight="1" x14ac:dyDescent="0.45">
      <c r="A10" s="24"/>
      <c r="B10" s="25"/>
      <c r="C10" s="25"/>
      <c r="D10" s="25"/>
      <c r="E10" s="25"/>
      <c r="F10" s="25"/>
      <c r="G10" s="26" t="s">
        <v>19</v>
      </c>
      <c r="H10" s="27" t="s">
        <v>12</v>
      </c>
      <c r="I10" s="28"/>
      <c r="J10" s="28"/>
      <c r="K10" s="29"/>
      <c r="L10" s="30">
        <f t="shared" ref="L10:N10" ca="1" si="4">L12+L16</f>
        <v>4546661.84</v>
      </c>
      <c r="M10" s="30">
        <f t="shared" ca="1" si="4"/>
        <v>2293380</v>
      </c>
      <c r="N10" s="30">
        <f t="shared" ca="1" si="4"/>
        <v>2360114.08</v>
      </c>
      <c r="O10" s="29">
        <f t="shared" ca="1" si="1"/>
        <v>51.908722554127756</v>
      </c>
      <c r="P10" s="29">
        <f t="shared" ca="1" si="2"/>
        <v>102.90985706686202</v>
      </c>
    </row>
    <row r="11" spans="1:16" ht="21.75" customHeight="1" x14ac:dyDescent="0.45">
      <c r="A11" s="31"/>
      <c r="B11" s="32"/>
      <c r="C11" s="33" t="s">
        <v>16</v>
      </c>
      <c r="D11" s="527" t="s">
        <v>20</v>
      </c>
      <c r="E11" s="528"/>
      <c r="F11" s="528"/>
      <c r="G11" s="34" t="s">
        <v>18</v>
      </c>
      <c r="H11" s="35" t="s">
        <v>12</v>
      </c>
      <c r="I11" s="36"/>
      <c r="J11" s="36"/>
      <c r="K11" s="37"/>
      <c r="L11" s="38">
        <f t="shared" ref="L11:N11" ca="1" si="5">L21+L31</f>
        <v>0</v>
      </c>
      <c r="M11" s="38">
        <f t="shared" si="5"/>
        <v>0</v>
      </c>
      <c r="N11" s="38">
        <f t="shared" ca="1" si="5"/>
        <v>0</v>
      </c>
      <c r="O11" s="38">
        <f t="shared" ca="1" si="1"/>
        <v>0</v>
      </c>
      <c r="P11" s="38">
        <f t="shared" si="2"/>
        <v>0</v>
      </c>
    </row>
    <row r="12" spans="1:16" ht="21.75" customHeight="1" x14ac:dyDescent="0.45">
      <c r="A12" s="31"/>
      <c r="B12" s="32"/>
      <c r="C12" s="32"/>
      <c r="D12" s="32"/>
      <c r="E12" s="39"/>
      <c r="F12" s="40"/>
      <c r="G12" s="34" t="s">
        <v>19</v>
      </c>
      <c r="H12" s="35" t="s">
        <v>12</v>
      </c>
      <c r="I12" s="36"/>
      <c r="J12" s="36"/>
      <c r="K12" s="37"/>
      <c r="L12" s="38">
        <f t="shared" ref="L12:N12" ca="1" si="6">L22+L32</f>
        <v>4212261.84</v>
      </c>
      <c r="M12" s="38">
        <f t="shared" ca="1" si="6"/>
        <v>2061980</v>
      </c>
      <c r="N12" s="38">
        <f t="shared" ca="1" si="6"/>
        <v>2025714.08</v>
      </c>
      <c r="O12" s="38">
        <f t="shared" ca="1" si="1"/>
        <v>48.090886961575968</v>
      </c>
      <c r="P12" s="38">
        <f t="shared" ca="1" si="2"/>
        <v>98.241208935101213</v>
      </c>
    </row>
    <row r="13" spans="1:16" ht="21.75" customHeight="1" x14ac:dyDescent="0.45">
      <c r="A13" s="31"/>
      <c r="B13" s="32"/>
      <c r="C13" s="32"/>
      <c r="D13" s="32"/>
      <c r="E13" s="39"/>
      <c r="F13" s="39"/>
      <c r="G13" s="34" t="s">
        <v>21</v>
      </c>
      <c r="H13" s="35" t="s">
        <v>12</v>
      </c>
      <c r="I13" s="36"/>
      <c r="J13" s="36"/>
      <c r="K13" s="37"/>
      <c r="L13" s="38">
        <f t="shared" ref="L13:N13" ca="1" si="7">L23+L33</f>
        <v>1742900</v>
      </c>
      <c r="M13" s="38">
        <f t="shared" si="7"/>
        <v>0</v>
      </c>
      <c r="N13" s="38">
        <f t="shared" ca="1" si="7"/>
        <v>0</v>
      </c>
      <c r="O13" s="41">
        <f t="shared" ca="1" si="1"/>
        <v>0</v>
      </c>
      <c r="P13" s="41">
        <f t="shared" si="2"/>
        <v>0</v>
      </c>
    </row>
    <row r="14" spans="1:16" ht="21.75" customHeight="1" x14ac:dyDescent="0.45">
      <c r="A14" s="31"/>
      <c r="B14" s="32"/>
      <c r="C14" s="32"/>
      <c r="D14" s="32"/>
      <c r="E14" s="39"/>
      <c r="F14" s="39"/>
      <c r="G14" s="34" t="s">
        <v>22</v>
      </c>
      <c r="H14" s="35" t="s">
        <v>12</v>
      </c>
      <c r="I14" s="36"/>
      <c r="J14" s="36"/>
      <c r="K14" s="37"/>
      <c r="L14" s="38">
        <f t="shared" ref="L14:N14" ca="1" si="8">L24+L34</f>
        <v>2469361.84</v>
      </c>
      <c r="M14" s="38">
        <f t="shared" si="8"/>
        <v>0</v>
      </c>
      <c r="N14" s="38">
        <f t="shared" ca="1" si="8"/>
        <v>590929.99</v>
      </c>
      <c r="O14" s="41">
        <f t="shared" ca="1" si="1"/>
        <v>23.930473874983022</v>
      </c>
      <c r="P14" s="41">
        <f t="shared" si="2"/>
        <v>0</v>
      </c>
    </row>
    <row r="15" spans="1:16" ht="21.75" customHeight="1" x14ac:dyDescent="0.45">
      <c r="A15" s="31"/>
      <c r="B15" s="32"/>
      <c r="C15" s="33" t="s">
        <v>16</v>
      </c>
      <c r="D15" s="527" t="s">
        <v>23</v>
      </c>
      <c r="E15" s="528"/>
      <c r="F15" s="39"/>
      <c r="G15" s="34" t="s">
        <v>18</v>
      </c>
      <c r="H15" s="35" t="s">
        <v>12</v>
      </c>
      <c r="I15" s="36"/>
      <c r="J15" s="36"/>
      <c r="K15" s="37"/>
      <c r="L15" s="38">
        <f t="shared" ref="L15:N15" si="9">L25+L35</f>
        <v>0</v>
      </c>
      <c r="M15" s="38">
        <f t="shared" si="9"/>
        <v>0</v>
      </c>
      <c r="N15" s="38">
        <f t="shared" si="9"/>
        <v>0</v>
      </c>
      <c r="O15" s="42">
        <f t="shared" si="1"/>
        <v>0</v>
      </c>
      <c r="P15" s="42">
        <f t="shared" si="2"/>
        <v>0</v>
      </c>
    </row>
    <row r="16" spans="1:16" ht="21.75" customHeight="1" x14ac:dyDescent="0.45">
      <c r="A16" s="43"/>
      <c r="B16" s="44"/>
      <c r="C16" s="44"/>
      <c r="D16" s="44"/>
      <c r="E16" s="45"/>
      <c r="F16" s="45"/>
      <c r="G16" s="46" t="s">
        <v>19</v>
      </c>
      <c r="H16" s="47" t="s">
        <v>12</v>
      </c>
      <c r="I16" s="48"/>
      <c r="J16" s="48"/>
      <c r="K16" s="49"/>
      <c r="L16" s="38">
        <f t="shared" ref="L16:N16" ca="1" si="10">L26+L36</f>
        <v>334400</v>
      </c>
      <c r="M16" s="38">
        <f t="shared" ca="1" si="10"/>
        <v>231400</v>
      </c>
      <c r="N16" s="38">
        <f t="shared" ca="1" si="10"/>
        <v>334400</v>
      </c>
      <c r="O16" s="50">
        <f t="shared" ca="1" si="1"/>
        <v>100</v>
      </c>
      <c r="P16" s="50">
        <f t="shared" ca="1" si="2"/>
        <v>144.51166810717373</v>
      </c>
    </row>
    <row r="17" spans="1:16" ht="21.75" customHeight="1" x14ac:dyDescent="0.45">
      <c r="A17" s="546" t="s">
        <v>24</v>
      </c>
      <c r="B17" s="536"/>
      <c r="C17" s="536"/>
      <c r="D17" s="536"/>
      <c r="E17" s="536"/>
      <c r="F17" s="536"/>
      <c r="G17" s="537"/>
      <c r="H17" s="12"/>
      <c r="I17" s="13"/>
      <c r="J17" s="13"/>
      <c r="K17" s="14"/>
      <c r="L17" s="15"/>
      <c r="M17" s="14"/>
      <c r="N17" s="15"/>
      <c r="O17" s="16"/>
      <c r="P17" s="16"/>
    </row>
    <row r="18" spans="1:16" ht="21.75" customHeight="1" x14ac:dyDescent="0.45">
      <c r="A18" s="17"/>
      <c r="B18" s="18"/>
      <c r="C18" s="19" t="s">
        <v>16</v>
      </c>
      <c r="D18" s="547" t="s">
        <v>17</v>
      </c>
      <c r="E18" s="531"/>
      <c r="F18" s="531"/>
      <c r="G18" s="531"/>
      <c r="H18" s="20" t="s">
        <v>12</v>
      </c>
      <c r="I18" s="21"/>
      <c r="J18" s="21"/>
      <c r="K18" s="22"/>
      <c r="L18" s="23">
        <f t="shared" ref="L18:N18" ca="1" si="11">L19+L20</f>
        <v>2896715</v>
      </c>
      <c r="M18" s="23">
        <f t="shared" ca="1" si="11"/>
        <v>2293380</v>
      </c>
      <c r="N18" s="23">
        <f t="shared" ca="1" si="11"/>
        <v>1666184.09</v>
      </c>
      <c r="O18" s="22">
        <f t="shared" ref="O18:O20" ca="1" si="12">IF(L18&gt;0,N18*100/L18,0)</f>
        <v>57.519779819554216</v>
      </c>
      <c r="P18" s="22">
        <f t="shared" ref="P18:P26" ca="1" si="13">IF(M18&gt;0,N18*100/M18,0)</f>
        <v>72.65189763580392</v>
      </c>
    </row>
    <row r="19" spans="1:16" ht="21.75" customHeight="1" x14ac:dyDescent="0.45">
      <c r="A19" s="24"/>
      <c r="B19" s="25"/>
      <c r="C19" s="25"/>
      <c r="D19" s="25"/>
      <c r="E19" s="25"/>
      <c r="F19" s="25"/>
      <c r="G19" s="26" t="s">
        <v>18</v>
      </c>
      <c r="H19" s="27" t="s">
        <v>12</v>
      </c>
      <c r="I19" s="28"/>
      <c r="J19" s="28"/>
      <c r="K19" s="29"/>
      <c r="L19" s="30">
        <f t="shared" ref="L19:N19" si="14">L21+L25</f>
        <v>0</v>
      </c>
      <c r="M19" s="30">
        <f t="shared" si="14"/>
        <v>0</v>
      </c>
      <c r="N19" s="30">
        <f t="shared" si="14"/>
        <v>0</v>
      </c>
      <c r="O19" s="29">
        <f t="shared" si="12"/>
        <v>0</v>
      </c>
      <c r="P19" s="29">
        <f t="shared" si="13"/>
        <v>0</v>
      </c>
    </row>
    <row r="20" spans="1:16" ht="21.75" customHeight="1" x14ac:dyDescent="0.45">
      <c r="A20" s="24"/>
      <c r="B20" s="25"/>
      <c r="C20" s="25"/>
      <c r="D20" s="25"/>
      <c r="E20" s="25"/>
      <c r="F20" s="25"/>
      <c r="G20" s="26" t="s">
        <v>19</v>
      </c>
      <c r="H20" s="27" t="s">
        <v>12</v>
      </c>
      <c r="I20" s="28"/>
      <c r="J20" s="28"/>
      <c r="K20" s="29"/>
      <c r="L20" s="30">
        <f t="shared" ref="L20:N20" ca="1" si="15">L22+L26</f>
        <v>2896715</v>
      </c>
      <c r="M20" s="30">
        <f t="shared" ca="1" si="15"/>
        <v>2293380</v>
      </c>
      <c r="N20" s="30">
        <f t="shared" ca="1" si="15"/>
        <v>1666184.09</v>
      </c>
      <c r="O20" s="29">
        <f t="shared" ca="1" si="12"/>
        <v>57.519779819554216</v>
      </c>
      <c r="P20" s="29">
        <f t="shared" ca="1" si="13"/>
        <v>72.65189763580392</v>
      </c>
    </row>
    <row r="21" spans="1:16" ht="21.75" customHeight="1" x14ac:dyDescent="0.45">
      <c r="A21" s="31"/>
      <c r="B21" s="32"/>
      <c r="C21" s="33" t="s">
        <v>16</v>
      </c>
      <c r="D21" s="527" t="s">
        <v>20</v>
      </c>
      <c r="E21" s="528"/>
      <c r="F21" s="528"/>
      <c r="G21" s="34" t="s">
        <v>18</v>
      </c>
      <c r="H21" s="35" t="s">
        <v>12</v>
      </c>
      <c r="I21" s="36"/>
      <c r="J21" s="36"/>
      <c r="K21" s="37"/>
      <c r="L21" s="41">
        <f t="shared" ref="L21:N21" si="16">L44+L56+L69+L97+L121+L143+L223+L253+L274+L293+L313+L332</f>
        <v>0</v>
      </c>
      <c r="M21" s="42">
        <f t="shared" si="16"/>
        <v>0</v>
      </c>
      <c r="N21" s="41">
        <f t="shared" si="16"/>
        <v>0</v>
      </c>
      <c r="O21" s="41">
        <f t="shared" ref="O21:O26" si="17">IF(L21&gt;0,N21*100/L21,0)</f>
        <v>0</v>
      </c>
      <c r="P21" s="41">
        <f t="shared" si="13"/>
        <v>0</v>
      </c>
    </row>
    <row r="22" spans="1:16" ht="21.75" customHeight="1" x14ac:dyDescent="0.45">
      <c r="A22" s="31"/>
      <c r="B22" s="32"/>
      <c r="C22" s="32"/>
      <c r="D22" s="32"/>
      <c r="E22" s="39"/>
      <c r="F22" s="40"/>
      <c r="G22" s="34" t="s">
        <v>19</v>
      </c>
      <c r="H22" s="35" t="s">
        <v>12</v>
      </c>
      <c r="I22" s="36"/>
      <c r="J22" s="36"/>
      <c r="K22" s="37"/>
      <c r="L22" s="41">
        <f t="shared" ref="L22:N22" ca="1" si="18">L45+L57+L70+L98+L122+L144+L224+L254+L275+L294+L314+L333</f>
        <v>2665315</v>
      </c>
      <c r="M22" s="42">
        <f t="shared" ca="1" si="18"/>
        <v>2061980</v>
      </c>
      <c r="N22" s="41">
        <f t="shared" ca="1" si="18"/>
        <v>1434784.09</v>
      </c>
      <c r="O22" s="41">
        <f t="shared" ca="1" si="17"/>
        <v>53.831689312520282</v>
      </c>
      <c r="P22" s="41">
        <f t="shared" ca="1" si="13"/>
        <v>69.582832520199034</v>
      </c>
    </row>
    <row r="23" spans="1:16" ht="21.75" customHeight="1" x14ac:dyDescent="0.45">
      <c r="A23" s="31"/>
      <c r="B23" s="32"/>
      <c r="C23" s="32"/>
      <c r="D23" s="32"/>
      <c r="E23" s="39"/>
      <c r="F23" s="39"/>
      <c r="G23" s="34" t="s">
        <v>21</v>
      </c>
      <c r="H23" s="35" t="s">
        <v>12</v>
      </c>
      <c r="I23" s="36"/>
      <c r="J23" s="36"/>
      <c r="K23" s="37"/>
      <c r="L23" s="41">
        <f t="shared" ref="L23:N23" ca="1" si="19">L46+L58+L71+L99+L123+L145+L225+L255+L276+L295+L315+L334</f>
        <v>1742900</v>
      </c>
      <c r="M23" s="42">
        <f t="shared" si="19"/>
        <v>0</v>
      </c>
      <c r="N23" s="41">
        <f t="shared" si="19"/>
        <v>0</v>
      </c>
      <c r="O23" s="41">
        <f t="shared" ca="1" si="17"/>
        <v>0</v>
      </c>
      <c r="P23" s="41">
        <f t="shared" si="13"/>
        <v>0</v>
      </c>
    </row>
    <row r="24" spans="1:16" ht="21.75" customHeight="1" x14ac:dyDescent="0.45">
      <c r="A24" s="31"/>
      <c r="B24" s="32"/>
      <c r="C24" s="32"/>
      <c r="D24" s="32"/>
      <c r="E24" s="39"/>
      <c r="F24" s="39"/>
      <c r="G24" s="34" t="s">
        <v>22</v>
      </c>
      <c r="H24" s="35" t="s">
        <v>12</v>
      </c>
      <c r="I24" s="36"/>
      <c r="J24" s="36"/>
      <c r="K24" s="37"/>
      <c r="L24" s="41">
        <f t="shared" ref="L24:N24" ca="1" si="20">L47+L59+L72+L100+L124+L146+L226+L256+L277+L296+L316+L335</f>
        <v>922415</v>
      </c>
      <c r="M24" s="42">
        <f t="shared" si="20"/>
        <v>0</v>
      </c>
      <c r="N24" s="41">
        <f t="shared" si="20"/>
        <v>0</v>
      </c>
      <c r="O24" s="41">
        <f t="shared" ca="1" si="17"/>
        <v>0</v>
      </c>
      <c r="P24" s="41">
        <f t="shared" si="13"/>
        <v>0</v>
      </c>
    </row>
    <row r="25" spans="1:16" ht="21.75" customHeight="1" x14ac:dyDescent="0.45">
      <c r="A25" s="31"/>
      <c r="B25" s="32"/>
      <c r="C25" s="33" t="s">
        <v>16</v>
      </c>
      <c r="D25" s="527" t="s">
        <v>23</v>
      </c>
      <c r="E25" s="528"/>
      <c r="F25" s="39"/>
      <c r="G25" s="34" t="s">
        <v>18</v>
      </c>
      <c r="H25" s="35" t="s">
        <v>12</v>
      </c>
      <c r="I25" s="36"/>
      <c r="J25" s="36"/>
      <c r="K25" s="37"/>
      <c r="L25" s="42">
        <f t="shared" ref="L25:N25" si="21">L48+L60+L73+L101+L125+L147+L227+L257+L278+L297+L317+L336</f>
        <v>0</v>
      </c>
      <c r="M25" s="42">
        <f t="shared" si="21"/>
        <v>0</v>
      </c>
      <c r="N25" s="42">
        <f t="shared" si="21"/>
        <v>0</v>
      </c>
      <c r="O25" s="42">
        <f t="shared" si="17"/>
        <v>0</v>
      </c>
      <c r="P25" s="42">
        <f t="shared" si="13"/>
        <v>0</v>
      </c>
    </row>
    <row r="26" spans="1:16" ht="21.75" customHeight="1" x14ac:dyDescent="0.45">
      <c r="A26" s="43"/>
      <c r="B26" s="44"/>
      <c r="C26" s="44"/>
      <c r="D26" s="44"/>
      <c r="E26" s="45"/>
      <c r="F26" s="45"/>
      <c r="G26" s="46" t="s">
        <v>19</v>
      </c>
      <c r="H26" s="47" t="s">
        <v>12</v>
      </c>
      <c r="I26" s="48"/>
      <c r="J26" s="48"/>
      <c r="K26" s="49"/>
      <c r="L26" s="50">
        <f t="shared" ref="L26:N26" ca="1" si="22">L49+L61+L74+L102+L126+L148+L228+L258+L279+L298+L318+L337</f>
        <v>231400</v>
      </c>
      <c r="M26" s="50">
        <f t="shared" ca="1" si="22"/>
        <v>231400</v>
      </c>
      <c r="N26" s="50">
        <f t="shared" ca="1" si="22"/>
        <v>231400</v>
      </c>
      <c r="O26" s="50">
        <f t="shared" ca="1" si="17"/>
        <v>100</v>
      </c>
      <c r="P26" s="50">
        <f t="shared" ca="1" si="13"/>
        <v>100</v>
      </c>
    </row>
    <row r="27" spans="1:16" ht="21.75" customHeight="1" x14ac:dyDescent="0.45">
      <c r="A27" s="546" t="s">
        <v>25</v>
      </c>
      <c r="B27" s="536"/>
      <c r="C27" s="536"/>
      <c r="D27" s="536"/>
      <c r="E27" s="536"/>
      <c r="F27" s="536"/>
      <c r="G27" s="537"/>
      <c r="H27" s="12"/>
      <c r="I27" s="13"/>
      <c r="J27" s="13"/>
      <c r="K27" s="14"/>
      <c r="L27" s="15"/>
      <c r="M27" s="14"/>
      <c r="N27" s="15"/>
      <c r="O27" s="16"/>
      <c r="P27" s="16"/>
    </row>
    <row r="28" spans="1:16" ht="21.75" customHeight="1" x14ac:dyDescent="0.45">
      <c r="A28" s="17"/>
      <c r="B28" s="18"/>
      <c r="C28" s="19" t="s">
        <v>16</v>
      </c>
      <c r="D28" s="547" t="s">
        <v>17</v>
      </c>
      <c r="E28" s="531"/>
      <c r="F28" s="531"/>
      <c r="G28" s="531"/>
      <c r="H28" s="20" t="s">
        <v>12</v>
      </c>
      <c r="I28" s="21"/>
      <c r="J28" s="21"/>
      <c r="K28" s="22"/>
      <c r="L28" s="23">
        <f t="shared" ref="L28:N28" ca="1" si="23">L29+L30</f>
        <v>1649946.84</v>
      </c>
      <c r="M28" s="23">
        <f t="shared" si="23"/>
        <v>0</v>
      </c>
      <c r="N28" s="23">
        <f t="shared" ca="1" si="23"/>
        <v>693929.99</v>
      </c>
      <c r="O28" s="22">
        <f t="shared" ref="O28:O30" ca="1" si="24">IF(L28&gt;0,N28*100/L28,0)</f>
        <v>42.057718053510136</v>
      </c>
      <c r="P28" s="22">
        <f t="shared" ref="P28:P37" si="25">IF(M28&gt;0,N28*100/M28,0)</f>
        <v>0</v>
      </c>
    </row>
    <row r="29" spans="1:16" ht="21.75" customHeight="1" x14ac:dyDescent="0.45">
      <c r="A29" s="24"/>
      <c r="B29" s="25"/>
      <c r="C29" s="25"/>
      <c r="D29" s="25"/>
      <c r="E29" s="25"/>
      <c r="F29" s="25"/>
      <c r="G29" s="26" t="s">
        <v>18</v>
      </c>
      <c r="H29" s="27" t="s">
        <v>12</v>
      </c>
      <c r="I29" s="28"/>
      <c r="J29" s="28"/>
      <c r="K29" s="29"/>
      <c r="L29" s="30">
        <f t="shared" ref="L29:N29" ca="1" si="26">L31+L35</f>
        <v>0</v>
      </c>
      <c r="M29" s="30">
        <f t="shared" si="26"/>
        <v>0</v>
      </c>
      <c r="N29" s="30">
        <f t="shared" ca="1" si="26"/>
        <v>0</v>
      </c>
      <c r="O29" s="29">
        <f t="shared" ca="1" si="24"/>
        <v>0</v>
      </c>
      <c r="P29" s="29">
        <f t="shared" si="25"/>
        <v>0</v>
      </c>
    </row>
    <row r="30" spans="1:16" ht="21.75" customHeight="1" x14ac:dyDescent="0.45">
      <c r="A30" s="24"/>
      <c r="B30" s="25"/>
      <c r="C30" s="25"/>
      <c r="D30" s="25"/>
      <c r="E30" s="25"/>
      <c r="F30" s="25"/>
      <c r="G30" s="26" t="s">
        <v>19</v>
      </c>
      <c r="H30" s="27" t="s">
        <v>12</v>
      </c>
      <c r="I30" s="28"/>
      <c r="J30" s="28"/>
      <c r="K30" s="29"/>
      <c r="L30" s="30">
        <f t="shared" ref="L30:N30" ca="1" si="27">L32+L36</f>
        <v>1649946.84</v>
      </c>
      <c r="M30" s="30">
        <f t="shared" si="27"/>
        <v>0</v>
      </c>
      <c r="N30" s="30">
        <f t="shared" ca="1" si="27"/>
        <v>693929.99</v>
      </c>
      <c r="O30" s="29">
        <f t="shared" ca="1" si="24"/>
        <v>42.057718053510136</v>
      </c>
      <c r="P30" s="29">
        <f t="shared" si="25"/>
        <v>0</v>
      </c>
    </row>
    <row r="31" spans="1:16" ht="21.75" customHeight="1" x14ac:dyDescent="0.45">
      <c r="A31" s="31"/>
      <c r="B31" s="32"/>
      <c r="C31" s="33" t="s">
        <v>16</v>
      </c>
      <c r="D31" s="527" t="s">
        <v>20</v>
      </c>
      <c r="E31" s="528"/>
      <c r="F31" s="528"/>
      <c r="G31" s="34" t="s">
        <v>18</v>
      </c>
      <c r="H31" s="35" t="s">
        <v>12</v>
      </c>
      <c r="I31" s="36"/>
      <c r="J31" s="36"/>
      <c r="K31" s="37"/>
      <c r="L31" s="41">
        <f t="shared" ref="L31:N31" ca="1" si="28">L351+L382+L403+L436+L456+L534+L552+L565+L581+L598</f>
        <v>0</v>
      </c>
      <c r="M31" s="41">
        <f t="shared" si="28"/>
        <v>0</v>
      </c>
      <c r="N31" s="41">
        <f t="shared" ca="1" si="28"/>
        <v>0</v>
      </c>
      <c r="O31" s="41">
        <f t="shared" ref="O31:O37" ca="1" si="29">IF(L31&gt;0,N31*100/L31,0)</f>
        <v>0</v>
      </c>
      <c r="P31" s="41">
        <f t="shared" si="25"/>
        <v>0</v>
      </c>
    </row>
    <row r="32" spans="1:16" ht="21.75" customHeight="1" x14ac:dyDescent="0.45">
      <c r="A32" s="31"/>
      <c r="B32" s="32"/>
      <c r="C32" s="32"/>
      <c r="D32" s="32"/>
      <c r="E32" s="39"/>
      <c r="F32" s="40"/>
      <c r="G32" s="34" t="s">
        <v>19</v>
      </c>
      <c r="H32" s="35" t="s">
        <v>12</v>
      </c>
      <c r="I32" s="36"/>
      <c r="J32" s="36"/>
      <c r="K32" s="37"/>
      <c r="L32" s="41">
        <f ca="1">L352+L383+L404+L437+L457+L535+L553+L566+L582+L599-103000</f>
        <v>1546946.84</v>
      </c>
      <c r="M32" s="41">
        <f>M352+M383+M404+M437+M457+M535+M553+M566+M582+M599</f>
        <v>0</v>
      </c>
      <c r="N32" s="41">
        <f ca="1">N352+N383+N404+N437+N457+N535+N553+N566+N582+N599-103000</f>
        <v>590929.99</v>
      </c>
      <c r="O32" s="41">
        <f t="shared" ca="1" si="29"/>
        <v>38.199760633015671</v>
      </c>
      <c r="P32" s="41">
        <f t="shared" si="25"/>
        <v>0</v>
      </c>
    </row>
    <row r="33" spans="1:16" ht="21.75" customHeight="1" x14ac:dyDescent="0.45">
      <c r="A33" s="31"/>
      <c r="B33" s="32"/>
      <c r="C33" s="32"/>
      <c r="D33" s="32"/>
      <c r="E33" s="39"/>
      <c r="F33" s="39"/>
      <c r="G33" s="34" t="s">
        <v>21</v>
      </c>
      <c r="H33" s="35" t="s">
        <v>12</v>
      </c>
      <c r="I33" s="36"/>
      <c r="J33" s="36"/>
      <c r="K33" s="37"/>
      <c r="L33" s="41">
        <f t="shared" ref="L33:N33" ca="1" si="30">L353+L384+L405+L438+L458+L536+L554+L567+L583+L600</f>
        <v>0</v>
      </c>
      <c r="M33" s="41">
        <f t="shared" si="30"/>
        <v>0</v>
      </c>
      <c r="N33" s="41">
        <f t="shared" ca="1" si="30"/>
        <v>0</v>
      </c>
      <c r="O33" s="41">
        <f t="shared" ca="1" si="29"/>
        <v>0</v>
      </c>
      <c r="P33" s="41">
        <f t="shared" si="25"/>
        <v>0</v>
      </c>
    </row>
    <row r="34" spans="1:16" ht="21.75" customHeight="1" x14ac:dyDescent="0.45">
      <c r="A34" s="31"/>
      <c r="B34" s="32"/>
      <c r="C34" s="32"/>
      <c r="D34" s="32"/>
      <c r="E34" s="39"/>
      <c r="F34" s="39"/>
      <c r="G34" s="34" t="s">
        <v>22</v>
      </c>
      <c r="H34" s="35" t="s">
        <v>12</v>
      </c>
      <c r="I34" s="36"/>
      <c r="J34" s="36"/>
      <c r="K34" s="37"/>
      <c r="L34" s="41">
        <f t="shared" ref="L34:N34" ca="1" si="31">L354+L385+L406+L439+L459+L537+L555+L568+L584+L601</f>
        <v>1546946.84</v>
      </c>
      <c r="M34" s="41">
        <f t="shared" si="31"/>
        <v>0</v>
      </c>
      <c r="N34" s="41">
        <f t="shared" ca="1" si="31"/>
        <v>590929.99</v>
      </c>
      <c r="O34" s="41">
        <f t="shared" ca="1" si="29"/>
        <v>38.199760633015671</v>
      </c>
      <c r="P34" s="41">
        <f t="shared" si="25"/>
        <v>0</v>
      </c>
    </row>
    <row r="35" spans="1:16" ht="21.75" customHeight="1" x14ac:dyDescent="0.45">
      <c r="A35" s="31"/>
      <c r="B35" s="32"/>
      <c r="C35" s="33" t="s">
        <v>16</v>
      </c>
      <c r="D35" s="527" t="s">
        <v>23</v>
      </c>
      <c r="E35" s="528"/>
      <c r="F35" s="39"/>
      <c r="G35" s="34" t="s">
        <v>18</v>
      </c>
      <c r="H35" s="35" t="s">
        <v>12</v>
      </c>
      <c r="I35" s="36"/>
      <c r="J35" s="36"/>
      <c r="K35" s="37"/>
      <c r="L35" s="51">
        <v>0</v>
      </c>
      <c r="M35" s="51">
        <v>0</v>
      </c>
      <c r="N35" s="51">
        <v>0</v>
      </c>
      <c r="O35" s="42">
        <f t="shared" si="29"/>
        <v>0</v>
      </c>
      <c r="P35" s="42">
        <f t="shared" si="25"/>
        <v>0</v>
      </c>
    </row>
    <row r="36" spans="1:16" ht="21.75" customHeight="1" x14ac:dyDescent="0.45">
      <c r="A36" s="43"/>
      <c r="B36" s="44"/>
      <c r="C36" s="44"/>
      <c r="D36" s="44"/>
      <c r="E36" s="45"/>
      <c r="F36" s="45"/>
      <c r="G36" s="46" t="s">
        <v>19</v>
      </c>
      <c r="H36" s="47" t="s">
        <v>12</v>
      </c>
      <c r="I36" s="48"/>
      <c r="J36" s="48"/>
      <c r="K36" s="49"/>
      <c r="L36" s="52">
        <v>103000</v>
      </c>
      <c r="M36" s="52">
        <v>0</v>
      </c>
      <c r="N36" s="52">
        <v>103000</v>
      </c>
      <c r="O36" s="50">
        <f t="shared" si="29"/>
        <v>100</v>
      </c>
      <c r="P36" s="50">
        <f t="shared" si="25"/>
        <v>0</v>
      </c>
    </row>
    <row r="37" spans="1:16" ht="21.75" customHeight="1" x14ac:dyDescent="0.35">
      <c r="A37" s="53" t="s">
        <v>26</v>
      </c>
      <c r="B37" s="53"/>
      <c r="C37" s="53"/>
      <c r="D37" s="53"/>
      <c r="E37" s="53"/>
      <c r="F37" s="53"/>
      <c r="G37" s="53"/>
      <c r="H37" s="53"/>
      <c r="I37" s="54"/>
      <c r="J37" s="54"/>
      <c r="K37" s="55"/>
      <c r="L37" s="55">
        <f t="shared" ref="L37:N37" ca="1" si="32">L41+L53+L66+L94+L118+L140+L220+L250+L271+L290+L310+L329</f>
        <v>2896715</v>
      </c>
      <c r="M37" s="55">
        <f t="shared" ca="1" si="32"/>
        <v>2293380</v>
      </c>
      <c r="N37" s="55">
        <f t="shared" ca="1" si="32"/>
        <v>1666184.0899999999</v>
      </c>
      <c r="O37" s="56">
        <f t="shared" ca="1" si="29"/>
        <v>57.519779819554216</v>
      </c>
      <c r="P37" s="56">
        <f t="shared" ca="1" si="25"/>
        <v>72.65189763580392</v>
      </c>
    </row>
    <row r="38" spans="1:16" ht="21.75" customHeight="1" x14ac:dyDescent="0.45">
      <c r="A38" s="548" t="s">
        <v>27</v>
      </c>
      <c r="B38" s="536"/>
      <c r="C38" s="536"/>
      <c r="D38" s="536"/>
      <c r="E38" s="536"/>
      <c r="F38" s="536"/>
      <c r="G38" s="537"/>
      <c r="H38" s="57"/>
      <c r="I38" s="58"/>
      <c r="J38" s="58"/>
      <c r="K38" s="59"/>
      <c r="L38" s="60"/>
      <c r="M38" s="60"/>
      <c r="N38" s="60"/>
      <c r="O38" s="60"/>
      <c r="P38" s="60"/>
    </row>
    <row r="39" spans="1:16" ht="21.75" customHeight="1" x14ac:dyDescent="0.45">
      <c r="A39" s="61"/>
      <c r="B39" s="549" t="s">
        <v>28</v>
      </c>
      <c r="C39" s="531"/>
      <c r="D39" s="531"/>
      <c r="E39" s="531"/>
      <c r="F39" s="531"/>
      <c r="G39" s="531"/>
      <c r="H39" s="62"/>
      <c r="I39" s="63"/>
      <c r="J39" s="63"/>
      <c r="K39" s="64"/>
      <c r="L39" s="65"/>
      <c r="M39" s="65"/>
      <c r="N39" s="65"/>
      <c r="O39" s="64"/>
      <c r="P39" s="64"/>
    </row>
    <row r="40" spans="1:16" ht="21.75" customHeight="1" x14ac:dyDescent="0.45">
      <c r="A40" s="66"/>
      <c r="B40" s="67" t="s">
        <v>29</v>
      </c>
      <c r="C40" s="68"/>
      <c r="D40" s="68"/>
      <c r="E40" s="68"/>
      <c r="F40" s="68"/>
      <c r="G40" s="68"/>
      <c r="H40" s="69"/>
      <c r="I40" s="70"/>
      <c r="J40" s="70"/>
      <c r="K40" s="71"/>
      <c r="L40" s="72"/>
      <c r="M40" s="72"/>
      <c r="N40" s="72"/>
      <c r="O40" s="71"/>
      <c r="P40" s="71"/>
    </row>
    <row r="41" spans="1:16" ht="21.75" customHeight="1" x14ac:dyDescent="0.45">
      <c r="A41" s="73"/>
      <c r="B41" s="74"/>
      <c r="C41" s="75" t="s">
        <v>16</v>
      </c>
      <c r="D41" s="550" t="s">
        <v>17</v>
      </c>
      <c r="E41" s="528"/>
      <c r="F41" s="528"/>
      <c r="G41" s="528"/>
      <c r="H41" s="76" t="s">
        <v>12</v>
      </c>
      <c r="I41" s="77"/>
      <c r="J41" s="77"/>
      <c r="K41" s="78"/>
      <c r="L41" s="79">
        <f t="shared" ref="L41:N41" ca="1" si="33">L42+L43</f>
        <v>604100</v>
      </c>
      <c r="M41" s="79">
        <f t="shared" ca="1" si="33"/>
        <v>453000</v>
      </c>
      <c r="N41" s="79">
        <f t="shared" ca="1" si="33"/>
        <v>334696.26</v>
      </c>
      <c r="O41" s="78">
        <f t="shared" ref="O41:O43" ca="1" si="34">IF(L41&gt;0,N41*100/L41,0)</f>
        <v>55.40411521271313</v>
      </c>
      <c r="P41" s="78">
        <f t="shared" ref="P41:P43" ca="1" si="35">IF(M41&gt;0,N41*100/M41,0)</f>
        <v>73.884384105960265</v>
      </c>
    </row>
    <row r="42" spans="1:16" ht="21.75" customHeight="1" x14ac:dyDescent="0.45">
      <c r="A42" s="73"/>
      <c r="B42" s="74"/>
      <c r="C42" s="74"/>
      <c r="D42" s="74"/>
      <c r="E42" s="74"/>
      <c r="F42" s="74"/>
      <c r="G42" s="75" t="s">
        <v>18</v>
      </c>
      <c r="H42" s="76" t="s">
        <v>12</v>
      </c>
      <c r="I42" s="77"/>
      <c r="J42" s="77"/>
      <c r="K42" s="78"/>
      <c r="L42" s="79">
        <f t="shared" ref="L42:N42" si="36">L44+L48</f>
        <v>0</v>
      </c>
      <c r="M42" s="79">
        <f t="shared" si="36"/>
        <v>0</v>
      </c>
      <c r="N42" s="79">
        <f t="shared" si="36"/>
        <v>0</v>
      </c>
      <c r="O42" s="78">
        <f t="shared" si="34"/>
        <v>0</v>
      </c>
      <c r="P42" s="78">
        <f t="shared" si="35"/>
        <v>0</v>
      </c>
    </row>
    <row r="43" spans="1:16" ht="21.75" customHeight="1" x14ac:dyDescent="0.45">
      <c r="A43" s="73"/>
      <c r="B43" s="74"/>
      <c r="C43" s="74"/>
      <c r="D43" s="74"/>
      <c r="E43" s="74"/>
      <c r="F43" s="74"/>
      <c r="G43" s="75" t="s">
        <v>19</v>
      </c>
      <c r="H43" s="76" t="s">
        <v>12</v>
      </c>
      <c r="I43" s="77"/>
      <c r="J43" s="77"/>
      <c r="K43" s="78"/>
      <c r="L43" s="79">
        <f t="shared" ref="L43:N43" ca="1" si="37">L45+L49</f>
        <v>604100</v>
      </c>
      <c r="M43" s="79">
        <f t="shared" ca="1" si="37"/>
        <v>453000</v>
      </c>
      <c r="N43" s="79">
        <f t="shared" ca="1" si="37"/>
        <v>334696.26</v>
      </c>
      <c r="O43" s="78">
        <f t="shared" ca="1" si="34"/>
        <v>55.40411521271313</v>
      </c>
      <c r="P43" s="78">
        <f t="shared" ca="1" si="35"/>
        <v>73.884384105960265</v>
      </c>
    </row>
    <row r="44" spans="1:16" ht="21.75" customHeight="1" x14ac:dyDescent="0.45">
      <c r="A44" s="80"/>
      <c r="B44" s="81"/>
      <c r="C44" s="82" t="s">
        <v>16</v>
      </c>
      <c r="D44" s="529" t="s">
        <v>20</v>
      </c>
      <c r="E44" s="528"/>
      <c r="F44" s="528"/>
      <c r="G44" s="83" t="s">
        <v>18</v>
      </c>
      <c r="H44" s="84" t="s">
        <v>12</v>
      </c>
      <c r="I44" s="85"/>
      <c r="J44" s="85"/>
      <c r="K44" s="86"/>
      <c r="L44" s="38">
        <v>0</v>
      </c>
      <c r="M44" s="87"/>
      <c r="N44" s="88"/>
      <c r="O44" s="88"/>
      <c r="P44" s="88"/>
    </row>
    <row r="45" spans="1:16" ht="21.75" customHeight="1" x14ac:dyDescent="0.45">
      <c r="A45" s="80"/>
      <c r="B45" s="81"/>
      <c r="C45" s="81"/>
      <c r="D45" s="81"/>
      <c r="E45" s="89"/>
      <c r="F45" s="90"/>
      <c r="G45" s="83" t="s">
        <v>19</v>
      </c>
      <c r="H45" s="84" t="s">
        <v>12</v>
      </c>
      <c r="I45" s="85"/>
      <c r="J45" s="85"/>
      <c r="K45" s="86"/>
      <c r="L45" s="41">
        <f ca="1">L46+L47</f>
        <v>604100</v>
      </c>
      <c r="M45" s="91">
        <f ca="1">IFERROR(__xludf.DUMMYFUNCTION("IMPORTRANGE(""https://docs.google.com/spreadsheets/d/1Yj_ptqi66GCucihVvJfMjLAmec39IyEx_6qawtMGysU/edit?usp=sharing"",""สบก!Q88"")"),453000)</f>
        <v>453000</v>
      </c>
      <c r="N45" s="91">
        <f ca="1">IFERROR(__xludf.DUMMYFUNCTION("IMPORTRANGE(""https://docs.google.com/spreadsheets/d/1Yj_ptqi66GCucihVvJfMjLAmec39IyEx_6qawtMGysU/edit?usp=sharing"",""สบก!R88"")"),334696.26)</f>
        <v>334696.26</v>
      </c>
      <c r="O45" s="92">
        <f ca="1">IF(L45&gt;0,N45*100/L45,0)</f>
        <v>55.40411521271313</v>
      </c>
      <c r="P45" s="92">
        <f ca="1">IF(M45&gt;0,N45*100/M45,0)</f>
        <v>73.884384105960265</v>
      </c>
    </row>
    <row r="46" spans="1:16" ht="21.75" customHeight="1" x14ac:dyDescent="0.45">
      <c r="A46" s="80"/>
      <c r="B46" s="81"/>
      <c r="C46" s="81"/>
      <c r="D46" s="81"/>
      <c r="E46" s="89"/>
      <c r="F46" s="89"/>
      <c r="G46" s="83" t="s">
        <v>21</v>
      </c>
      <c r="H46" s="84" t="s">
        <v>12</v>
      </c>
      <c r="I46" s="85"/>
      <c r="J46" s="85"/>
      <c r="K46" s="86"/>
      <c r="L46" s="91">
        <f ca="1">IFERROR(__xludf.DUMMYFUNCTION("IMPORTRANGE(""https://docs.google.com/spreadsheets/d/1Yj_ptqi66GCucihVvJfMjLAmec39IyEx_6qawtMGysU/edit?usp=sharing"",""สบก!M88"")"),604100)</f>
        <v>604100</v>
      </c>
      <c r="M46" s="93"/>
      <c r="N46" s="41"/>
      <c r="O46" s="92"/>
      <c r="P46" s="92"/>
    </row>
    <row r="47" spans="1:16" ht="21.75" customHeight="1" x14ac:dyDescent="0.45">
      <c r="A47" s="80"/>
      <c r="B47" s="81"/>
      <c r="C47" s="81"/>
      <c r="D47" s="81"/>
      <c r="E47" s="89"/>
      <c r="F47" s="89"/>
      <c r="G47" s="83" t="s">
        <v>22</v>
      </c>
      <c r="H47" s="84" t="s">
        <v>12</v>
      </c>
      <c r="I47" s="85"/>
      <c r="J47" s="85"/>
      <c r="K47" s="86"/>
      <c r="L47" s="91">
        <f ca="1">IFERROR(__xludf.DUMMYFUNCTION("IMPORTRANGE(""https://docs.google.com/spreadsheets/d/1Yj_ptqi66GCucihVvJfMjLAmec39IyEx_6qawtMGysU/edit?usp=sharing"",""สบก!N88"")"),0)</f>
        <v>0</v>
      </c>
      <c r="M47" s="93"/>
      <c r="N47" s="41"/>
      <c r="O47" s="92"/>
      <c r="P47" s="92"/>
    </row>
    <row r="48" spans="1:16" ht="21.75" customHeight="1" x14ac:dyDescent="0.45">
      <c r="A48" s="80"/>
      <c r="B48" s="81"/>
      <c r="C48" s="82" t="s">
        <v>16</v>
      </c>
      <c r="D48" s="529" t="s">
        <v>23</v>
      </c>
      <c r="E48" s="528"/>
      <c r="F48" s="89"/>
      <c r="G48" s="83" t="s">
        <v>18</v>
      </c>
      <c r="H48" s="84" t="s">
        <v>12</v>
      </c>
      <c r="I48" s="85"/>
      <c r="J48" s="85"/>
      <c r="K48" s="86"/>
      <c r="L48" s="51">
        <v>0</v>
      </c>
      <c r="M48" s="93"/>
      <c r="N48" s="42"/>
      <c r="O48" s="93"/>
      <c r="P48" s="93"/>
    </row>
    <row r="49" spans="1:16" ht="21.75" customHeight="1" x14ac:dyDescent="0.45">
      <c r="A49" s="94"/>
      <c r="B49" s="95"/>
      <c r="C49" s="95"/>
      <c r="D49" s="95"/>
      <c r="E49" s="96"/>
      <c r="F49" s="96"/>
      <c r="G49" s="97" t="s">
        <v>19</v>
      </c>
      <c r="H49" s="98" t="s">
        <v>12</v>
      </c>
      <c r="I49" s="99"/>
      <c r="J49" s="99"/>
      <c r="K49" s="100"/>
      <c r="L49" s="91">
        <f ca="1">IFERROR(__xludf.DUMMYFUNCTION("IMPORTRANGE(""https://docs.google.com/spreadsheets/d/1Yj_ptqi66GCucihVvJfMjLAmec39IyEx_6qawtMGysU/edit?usp=sharing"",""สบก!O88"")"),0)</f>
        <v>0</v>
      </c>
      <c r="M49" s="101"/>
      <c r="N49" s="91">
        <f ca="1">IFERROR(__xludf.DUMMYFUNCTION("IMPORTRANGE(""https://docs.google.com/spreadsheets/d/1Yj_ptqi66GCucihVvJfMjLAmec39IyEx_6qawtMGysU/edit?usp=sharing"",""สบก!S88"")"),0)</f>
        <v>0</v>
      </c>
      <c r="O49" s="101">
        <f ca="1">IF(L49&gt;0,N49*100/L49,0)</f>
        <v>0</v>
      </c>
      <c r="P49" s="101"/>
    </row>
    <row r="50" spans="1:16" ht="21.75" customHeight="1" x14ac:dyDescent="0.45">
      <c r="A50" s="102" t="s">
        <v>30</v>
      </c>
      <c r="B50" s="103"/>
      <c r="C50" s="103"/>
      <c r="D50" s="103"/>
      <c r="E50" s="103"/>
      <c r="F50" s="103"/>
      <c r="G50" s="103"/>
      <c r="H50" s="104"/>
      <c r="I50" s="105"/>
      <c r="J50" s="105"/>
      <c r="K50" s="106"/>
      <c r="L50" s="107"/>
      <c r="M50" s="107"/>
      <c r="N50" s="107"/>
      <c r="O50" s="106"/>
      <c r="P50" s="106"/>
    </row>
    <row r="51" spans="1:16" ht="21.75" customHeight="1" x14ac:dyDescent="0.45">
      <c r="A51" s="108"/>
      <c r="B51" s="109" t="s">
        <v>31</v>
      </c>
      <c r="C51" s="109"/>
      <c r="D51" s="109"/>
      <c r="E51" s="109"/>
      <c r="F51" s="109"/>
      <c r="G51" s="109"/>
      <c r="H51" s="110"/>
      <c r="I51" s="111"/>
      <c r="J51" s="111"/>
      <c r="K51" s="112"/>
      <c r="L51" s="113"/>
      <c r="M51" s="113"/>
      <c r="N51" s="113"/>
      <c r="O51" s="112"/>
      <c r="P51" s="112"/>
    </row>
    <row r="52" spans="1:16" ht="21.75" customHeight="1" x14ac:dyDescent="0.45">
      <c r="A52" s="114"/>
      <c r="B52" s="551" t="s">
        <v>32</v>
      </c>
      <c r="C52" s="528"/>
      <c r="D52" s="528"/>
      <c r="E52" s="528"/>
      <c r="F52" s="528"/>
      <c r="G52" s="528"/>
      <c r="H52" s="115"/>
      <c r="I52" s="116"/>
      <c r="J52" s="116"/>
      <c r="K52" s="117"/>
      <c r="L52" s="118"/>
      <c r="M52" s="118"/>
      <c r="N52" s="118"/>
      <c r="O52" s="117"/>
      <c r="P52" s="117"/>
    </row>
    <row r="53" spans="1:16" ht="21.75" customHeight="1" x14ac:dyDescent="0.45">
      <c r="A53" s="119"/>
      <c r="B53" s="120"/>
      <c r="C53" s="121" t="s">
        <v>16</v>
      </c>
      <c r="D53" s="552" t="s">
        <v>17</v>
      </c>
      <c r="E53" s="528"/>
      <c r="F53" s="528"/>
      <c r="G53" s="528"/>
      <c r="H53" s="122" t="s">
        <v>12</v>
      </c>
      <c r="I53" s="123"/>
      <c r="J53" s="123"/>
      <c r="K53" s="124"/>
      <c r="L53" s="125">
        <f t="shared" ref="L53:N53" ca="1" si="38">L54+L55</f>
        <v>512600</v>
      </c>
      <c r="M53" s="125">
        <f t="shared" ca="1" si="38"/>
        <v>398860</v>
      </c>
      <c r="N53" s="125">
        <f t="shared" ca="1" si="38"/>
        <v>333978.01</v>
      </c>
      <c r="O53" s="124">
        <f t="shared" ref="O53:O55" ca="1" si="39">IF(L53&gt;0,N53*100/L53,0)</f>
        <v>65.153728053062821</v>
      </c>
      <c r="P53" s="124">
        <f t="shared" ref="P53:P55" ca="1" si="40">IF(M53&gt;0,N53*100/M53,0)</f>
        <v>83.733141954570527</v>
      </c>
    </row>
    <row r="54" spans="1:16" ht="21.75" customHeight="1" x14ac:dyDescent="0.45">
      <c r="A54" s="119"/>
      <c r="B54" s="120"/>
      <c r="C54" s="120"/>
      <c r="D54" s="120"/>
      <c r="E54" s="120"/>
      <c r="F54" s="120"/>
      <c r="G54" s="121" t="s">
        <v>18</v>
      </c>
      <c r="H54" s="122" t="s">
        <v>12</v>
      </c>
      <c r="I54" s="123"/>
      <c r="J54" s="123"/>
      <c r="K54" s="124"/>
      <c r="L54" s="125">
        <f t="shared" ref="L54:N54" si="41">L56+L60</f>
        <v>0</v>
      </c>
      <c r="M54" s="125">
        <f t="shared" si="41"/>
        <v>0</v>
      </c>
      <c r="N54" s="125">
        <f t="shared" si="41"/>
        <v>0</v>
      </c>
      <c r="O54" s="124">
        <f t="shared" si="39"/>
        <v>0</v>
      </c>
      <c r="P54" s="124">
        <f t="shared" si="40"/>
        <v>0</v>
      </c>
    </row>
    <row r="55" spans="1:16" ht="21.75" customHeight="1" x14ac:dyDescent="0.45">
      <c r="A55" s="119"/>
      <c r="B55" s="120"/>
      <c r="C55" s="120"/>
      <c r="D55" s="120"/>
      <c r="E55" s="120"/>
      <c r="F55" s="120"/>
      <c r="G55" s="121" t="s">
        <v>19</v>
      </c>
      <c r="H55" s="122" t="s">
        <v>12</v>
      </c>
      <c r="I55" s="123"/>
      <c r="J55" s="123"/>
      <c r="K55" s="124"/>
      <c r="L55" s="125">
        <f t="shared" ref="L55:N55" ca="1" si="42">L57+L61</f>
        <v>512600</v>
      </c>
      <c r="M55" s="125">
        <f t="shared" ca="1" si="42"/>
        <v>398860</v>
      </c>
      <c r="N55" s="125">
        <f t="shared" ca="1" si="42"/>
        <v>333978.01</v>
      </c>
      <c r="O55" s="124">
        <f t="shared" ca="1" si="39"/>
        <v>65.153728053062821</v>
      </c>
      <c r="P55" s="124">
        <f t="shared" ca="1" si="40"/>
        <v>83.733141954570527</v>
      </c>
    </row>
    <row r="56" spans="1:16" ht="21.75" customHeight="1" x14ac:dyDescent="0.45">
      <c r="A56" s="80"/>
      <c r="B56" s="81"/>
      <c r="C56" s="82" t="s">
        <v>16</v>
      </c>
      <c r="D56" s="529" t="s">
        <v>20</v>
      </c>
      <c r="E56" s="528"/>
      <c r="F56" s="528"/>
      <c r="G56" s="83" t="s">
        <v>18</v>
      </c>
      <c r="H56" s="84" t="s">
        <v>12</v>
      </c>
      <c r="I56" s="85"/>
      <c r="J56" s="85"/>
      <c r="K56" s="86"/>
      <c r="L56" s="88">
        <v>0</v>
      </c>
      <c r="M56" s="87"/>
      <c r="N56" s="88"/>
      <c r="O56" s="88"/>
      <c r="P56" s="88"/>
    </row>
    <row r="57" spans="1:16" ht="21.75" customHeight="1" x14ac:dyDescent="0.45">
      <c r="A57" s="80"/>
      <c r="B57" s="81"/>
      <c r="C57" s="81"/>
      <c r="D57" s="81"/>
      <c r="E57" s="89"/>
      <c r="F57" s="90"/>
      <c r="G57" s="83" t="s">
        <v>19</v>
      </c>
      <c r="H57" s="84" t="s">
        <v>12</v>
      </c>
      <c r="I57" s="85"/>
      <c r="J57" s="85"/>
      <c r="K57" s="86"/>
      <c r="L57" s="41">
        <f ca="1">L58+L59</f>
        <v>512600</v>
      </c>
      <c r="M57" s="91">
        <f ca="1">IFERROR(__xludf.DUMMYFUNCTION("IMPORTRANGE(""https://docs.google.com/spreadsheets/d/1Yj_ptqi66GCucihVvJfMjLAmec39IyEx_6qawtMGysU/edit?usp=sharing"",""สบก!Z88"")"),398860)</f>
        <v>398860</v>
      </c>
      <c r="N57" s="91">
        <f ca="1">IFERROR(__xludf.DUMMYFUNCTION("IMPORTRANGE(""https://docs.google.com/spreadsheets/d/1Yj_ptqi66GCucihVvJfMjLAmec39IyEx_6qawtMGysU/edit?usp=sharing"",""สบก!AA88"")"),333978.01)</f>
        <v>333978.01</v>
      </c>
      <c r="O57" s="92">
        <f ca="1">IF(L57&gt;0,N57*100/L57,0)</f>
        <v>65.153728053062821</v>
      </c>
      <c r="P57" s="92">
        <f ca="1">IF(M57&gt;0,N57*100/M57,0)</f>
        <v>83.733141954570527</v>
      </c>
    </row>
    <row r="58" spans="1:16" ht="21.75" customHeight="1" x14ac:dyDescent="0.45">
      <c r="A58" s="80"/>
      <c r="B58" s="81"/>
      <c r="C58" s="81"/>
      <c r="D58" s="81"/>
      <c r="E58" s="89"/>
      <c r="F58" s="89"/>
      <c r="G58" s="83" t="s">
        <v>21</v>
      </c>
      <c r="H58" s="84" t="s">
        <v>12</v>
      </c>
      <c r="I58" s="85"/>
      <c r="J58" s="85"/>
      <c r="K58" s="86"/>
      <c r="L58" s="91">
        <f ca="1">IFERROR(__xludf.DUMMYFUNCTION("IMPORTRANGE(""https://docs.google.com/spreadsheets/d/1Yj_ptqi66GCucihVvJfMjLAmec39IyEx_6qawtMGysU/edit?usp=sharing"",""สบก!V88"")"),512600)</f>
        <v>512600</v>
      </c>
      <c r="M58" s="93"/>
      <c r="N58" s="41"/>
      <c r="O58" s="92"/>
      <c r="P58" s="92"/>
    </row>
    <row r="59" spans="1:16" ht="21.75" customHeight="1" x14ac:dyDescent="0.45">
      <c r="A59" s="80"/>
      <c r="B59" s="81"/>
      <c r="C59" s="81"/>
      <c r="D59" s="81"/>
      <c r="E59" s="89"/>
      <c r="F59" s="89"/>
      <c r="G59" s="83" t="s">
        <v>22</v>
      </c>
      <c r="H59" s="84" t="s">
        <v>12</v>
      </c>
      <c r="I59" s="85"/>
      <c r="J59" s="85"/>
      <c r="K59" s="86"/>
      <c r="L59" s="91">
        <f ca="1">IFERROR(__xludf.DUMMYFUNCTION("IMPORTRANGE(""https://docs.google.com/spreadsheets/d/1Yj_ptqi66GCucihVvJfMjLAmec39IyEx_6qawtMGysU/edit?usp=sharing"",""สบก!W88"")"),0)</f>
        <v>0</v>
      </c>
      <c r="M59" s="93"/>
      <c r="N59" s="41"/>
      <c r="O59" s="92"/>
      <c r="P59" s="92"/>
    </row>
    <row r="60" spans="1:16" ht="21.75" customHeight="1" x14ac:dyDescent="0.45">
      <c r="A60" s="80"/>
      <c r="B60" s="81"/>
      <c r="C60" s="82" t="s">
        <v>16</v>
      </c>
      <c r="D60" s="529" t="s">
        <v>23</v>
      </c>
      <c r="E60" s="528"/>
      <c r="F60" s="89"/>
      <c r="G60" s="83" t="s">
        <v>18</v>
      </c>
      <c r="H60" s="84" t="s">
        <v>12</v>
      </c>
      <c r="I60" s="85"/>
      <c r="J60" s="85"/>
      <c r="K60" s="86"/>
      <c r="L60" s="51">
        <v>0</v>
      </c>
      <c r="M60" s="93"/>
      <c r="N60" s="42"/>
      <c r="O60" s="93"/>
      <c r="P60" s="93"/>
    </row>
    <row r="61" spans="1:16" ht="21.75" customHeight="1" x14ac:dyDescent="0.45">
      <c r="A61" s="94"/>
      <c r="B61" s="95"/>
      <c r="C61" s="95"/>
      <c r="D61" s="95"/>
      <c r="E61" s="96"/>
      <c r="F61" s="96"/>
      <c r="G61" s="97" t="s">
        <v>19</v>
      </c>
      <c r="H61" s="98" t="s">
        <v>12</v>
      </c>
      <c r="I61" s="99"/>
      <c r="J61" s="99"/>
      <c r="K61" s="100"/>
      <c r="L61" s="91">
        <f ca="1">IFERROR(__xludf.DUMMYFUNCTION("IMPORTRANGE(""https://docs.google.com/spreadsheets/d/1Yj_ptqi66GCucihVvJfMjLAmec39IyEx_6qawtMGysU/edit?usp=sharing"",""สบก!X88"")"),0)</f>
        <v>0</v>
      </c>
      <c r="M61" s="101"/>
      <c r="N61" s="91">
        <f ca="1">IFERROR(__xludf.DUMMYFUNCTION("IMPORTRANGE(""https://docs.google.com/spreadsheets/d/1Yj_ptqi66GCucihVvJfMjLAmec39IyEx_6qawtMGysU/edit?usp=sharing"",""สบก!AB88"")"),0)</f>
        <v>0</v>
      </c>
      <c r="O61" s="101">
        <f ca="1">IF(L61&gt;0,N61*100/L61,0)</f>
        <v>0</v>
      </c>
      <c r="P61" s="101"/>
    </row>
    <row r="62" spans="1:16" ht="21.75" customHeight="1" x14ac:dyDescent="0.35">
      <c r="A62" s="126" t="s">
        <v>33</v>
      </c>
      <c r="B62" s="127"/>
      <c r="C62" s="127"/>
      <c r="D62" s="127"/>
      <c r="E62" s="128"/>
      <c r="F62" s="128"/>
      <c r="G62" s="128"/>
      <c r="H62" s="129"/>
      <c r="I62" s="130"/>
      <c r="J62" s="130"/>
      <c r="K62" s="131"/>
      <c r="L62" s="132"/>
      <c r="M62" s="132"/>
      <c r="N62" s="132"/>
      <c r="O62" s="132"/>
      <c r="P62" s="132"/>
    </row>
    <row r="63" spans="1:16" ht="21.75" customHeight="1" x14ac:dyDescent="0.35">
      <c r="A63" s="133" t="s">
        <v>34</v>
      </c>
      <c r="B63" s="134"/>
      <c r="C63" s="135"/>
      <c r="D63" s="134"/>
      <c r="E63" s="136"/>
      <c r="F63" s="136"/>
      <c r="G63" s="136"/>
      <c r="H63" s="137"/>
      <c r="I63" s="138"/>
      <c r="J63" s="138"/>
      <c r="K63" s="139"/>
      <c r="L63" s="140"/>
      <c r="M63" s="140"/>
      <c r="N63" s="140"/>
      <c r="O63" s="141"/>
      <c r="P63" s="141"/>
    </row>
    <row r="64" spans="1:16" ht="21.75" customHeight="1" x14ac:dyDescent="0.35">
      <c r="A64" s="142"/>
      <c r="B64" s="143" t="s">
        <v>35</v>
      </c>
      <c r="C64" s="143"/>
      <c r="D64" s="144"/>
      <c r="E64" s="143"/>
      <c r="F64" s="143"/>
      <c r="G64" s="143"/>
      <c r="H64" s="145" t="s">
        <v>36</v>
      </c>
      <c r="I64" s="146">
        <f ca="1">IFERROR(__xludf.DUMMYFUNCTION("IMPORTRANGE(""https://docs.google.com/spreadsheets/d/1IYY_tgx_IHuhSq3AJ5eI5OnqOPBNLWSHKh2a30DoXe8/edit?usp=sharing"",""พัทลุง!I9"")"),1)</f>
        <v>1</v>
      </c>
      <c r="J64" s="146">
        <f ca="1">IFERROR(__xludf.DUMMYFUNCTION("IMPORTRANGE(""https://docs.google.com/spreadsheets/d/1IYY_tgx_IHuhSq3AJ5eI5OnqOPBNLWSHKh2a30DoXe8/edit?usp=sharing"",""พัทลุง!J9"")"),1)</f>
        <v>1</v>
      </c>
      <c r="K64" s="147">
        <f t="shared" ref="K64:K65" ca="1" si="43">IF(I64&gt;0,J64*100/I64,0)</f>
        <v>100</v>
      </c>
      <c r="L64" s="148"/>
      <c r="M64" s="148"/>
      <c r="N64" s="149"/>
      <c r="O64" s="147"/>
      <c r="P64" s="147"/>
    </row>
    <row r="65" spans="1:16" ht="21.75" customHeight="1" x14ac:dyDescent="0.35">
      <c r="A65" s="142"/>
      <c r="B65" s="143"/>
      <c r="C65" s="143"/>
      <c r="D65" s="144"/>
      <c r="E65" s="143"/>
      <c r="F65" s="143"/>
      <c r="G65" s="143"/>
      <c r="H65" s="145" t="s">
        <v>37</v>
      </c>
      <c r="I65" s="146">
        <f ca="1">IFERROR(__xludf.DUMMYFUNCTION("IMPORTRANGE(""https://docs.google.com/spreadsheets/d/1IYY_tgx_IHuhSq3AJ5eI5OnqOPBNLWSHKh2a30DoXe8/edit?usp=sharing"",""พัทลุง!I10"")"),30)</f>
        <v>30</v>
      </c>
      <c r="J65" s="146">
        <f ca="1">IFERROR(__xludf.DUMMYFUNCTION("IMPORTRANGE(""https://docs.google.com/spreadsheets/d/1IYY_tgx_IHuhSq3AJ5eI5OnqOPBNLWSHKh2a30DoXe8/edit?usp=sharing"",""พัทลุง!J10"")"),30)</f>
        <v>30</v>
      </c>
      <c r="K65" s="147">
        <f t="shared" ca="1" si="43"/>
        <v>100</v>
      </c>
      <c r="L65" s="149"/>
      <c r="M65" s="149"/>
      <c r="N65" s="149"/>
      <c r="O65" s="147"/>
      <c r="P65" s="147"/>
    </row>
    <row r="66" spans="1:16" ht="21.75" customHeight="1" x14ac:dyDescent="0.45">
      <c r="A66" s="150"/>
      <c r="B66" s="151"/>
      <c r="C66" s="152" t="s">
        <v>16</v>
      </c>
      <c r="D66" s="530" t="s">
        <v>17</v>
      </c>
      <c r="E66" s="531"/>
      <c r="F66" s="531"/>
      <c r="G66" s="531"/>
      <c r="H66" s="153" t="s">
        <v>12</v>
      </c>
      <c r="I66" s="154"/>
      <c r="J66" s="154"/>
      <c r="K66" s="155"/>
      <c r="L66" s="156">
        <f t="shared" ref="L66:N66" ca="1" si="44">L67+L68</f>
        <v>580200</v>
      </c>
      <c r="M66" s="156">
        <f t="shared" ca="1" si="44"/>
        <v>460820</v>
      </c>
      <c r="N66" s="156">
        <f t="shared" ca="1" si="44"/>
        <v>277630.86</v>
      </c>
      <c r="O66" s="155">
        <f t="shared" ref="O66:O68" ca="1" si="45">IF(L66&gt;0,N66*100/L66,0)</f>
        <v>47.850889348500516</v>
      </c>
      <c r="P66" s="155">
        <f t="shared" ref="P66:P68" ca="1" si="46">IF(M66&gt;0,N66*100/M66,0)</f>
        <v>60.247137711036849</v>
      </c>
    </row>
    <row r="67" spans="1:16" ht="21.75" customHeight="1" x14ac:dyDescent="0.45">
      <c r="A67" s="157"/>
      <c r="B67" s="32"/>
      <c r="C67" s="32"/>
      <c r="D67" s="32"/>
      <c r="E67" s="32"/>
      <c r="F67" s="32"/>
      <c r="G67" s="33" t="s">
        <v>18</v>
      </c>
      <c r="H67" s="158" t="s">
        <v>12</v>
      </c>
      <c r="I67" s="159"/>
      <c r="J67" s="159"/>
      <c r="K67" s="160"/>
      <c r="L67" s="161">
        <f t="shared" ref="L67:N67" si="47">L69+L73</f>
        <v>0</v>
      </c>
      <c r="M67" s="161">
        <f t="shared" si="47"/>
        <v>0</v>
      </c>
      <c r="N67" s="161">
        <f t="shared" si="47"/>
        <v>0</v>
      </c>
      <c r="O67" s="160">
        <f t="shared" si="45"/>
        <v>0</v>
      </c>
      <c r="P67" s="160">
        <f t="shared" si="46"/>
        <v>0</v>
      </c>
    </row>
    <row r="68" spans="1:16" ht="21.75" customHeight="1" x14ac:dyDescent="0.45">
      <c r="A68" s="157"/>
      <c r="B68" s="32"/>
      <c r="C68" s="32"/>
      <c r="D68" s="32"/>
      <c r="E68" s="32"/>
      <c r="F68" s="32"/>
      <c r="G68" s="33" t="s">
        <v>19</v>
      </c>
      <c r="H68" s="158" t="s">
        <v>12</v>
      </c>
      <c r="I68" s="159"/>
      <c r="J68" s="159"/>
      <c r="K68" s="160"/>
      <c r="L68" s="161">
        <f t="shared" ref="L68:N68" ca="1" si="48">L70+L74</f>
        <v>580200</v>
      </c>
      <c r="M68" s="161">
        <f t="shared" ca="1" si="48"/>
        <v>460820</v>
      </c>
      <c r="N68" s="161">
        <f t="shared" ca="1" si="48"/>
        <v>277630.86</v>
      </c>
      <c r="O68" s="160">
        <f t="shared" ca="1" si="45"/>
        <v>47.850889348500516</v>
      </c>
      <c r="P68" s="160">
        <f t="shared" ca="1" si="46"/>
        <v>60.247137711036849</v>
      </c>
    </row>
    <row r="69" spans="1:16" ht="21.75" customHeight="1" x14ac:dyDescent="0.45">
      <c r="A69" s="162"/>
      <c r="B69" s="163"/>
      <c r="C69" s="163" t="s">
        <v>16</v>
      </c>
      <c r="D69" s="527" t="s">
        <v>20</v>
      </c>
      <c r="E69" s="528"/>
      <c r="F69" s="528"/>
      <c r="G69" s="164" t="s">
        <v>38</v>
      </c>
      <c r="H69" s="165" t="s">
        <v>12</v>
      </c>
      <c r="I69" s="166" t="s">
        <v>39</v>
      </c>
      <c r="J69" s="166"/>
      <c r="K69" s="167"/>
      <c r="L69" s="168">
        <v>0</v>
      </c>
      <c r="M69" s="168"/>
      <c r="N69" s="168">
        <v>0</v>
      </c>
      <c r="O69" s="169">
        <f>+IF(L69&gt;0,N69*100/L69,0)</f>
        <v>0</v>
      </c>
      <c r="P69" s="169"/>
    </row>
    <row r="70" spans="1:16" ht="21.75" customHeight="1" x14ac:dyDescent="0.35">
      <c r="A70" s="162"/>
      <c r="B70" s="163"/>
      <c r="C70" s="163"/>
      <c r="D70" s="170"/>
      <c r="E70" s="171"/>
      <c r="F70" s="171" t="s">
        <v>39</v>
      </c>
      <c r="G70" s="164" t="s">
        <v>40</v>
      </c>
      <c r="H70" s="165" t="s">
        <v>12</v>
      </c>
      <c r="I70" s="166"/>
      <c r="J70" s="166"/>
      <c r="K70" s="167"/>
      <c r="L70" s="172">
        <f ca="1">L71+L72</f>
        <v>580200</v>
      </c>
      <c r="M70" s="173">
        <f ca="1">IFERROR(__xludf.DUMMYFUNCTION("IMPORTRANGE(""https://docs.google.com/spreadsheets/d/1Yj_ptqi66GCucihVvJfMjLAmec39IyEx_6qawtMGysU/edit?usp=sharing"",""สบก!AI88"")"),460820)</f>
        <v>460820</v>
      </c>
      <c r="N70" s="174">
        <f ca="1">IFERROR(__xludf.DUMMYFUNCTION("IMPORTRANGE(""https://docs.google.com/spreadsheets/d/1Yj_ptqi66GCucihVvJfMjLAmec39IyEx_6qawtMGysU/edit?usp=sharing"",""สบก!AJ88"")"),277630.86)</f>
        <v>277630.86</v>
      </c>
      <c r="O70" s="175">
        <f ca="1">IF(L70&gt;0,N70*100/L70,0)</f>
        <v>47.850889348500516</v>
      </c>
      <c r="P70" s="175">
        <f ca="1">IF(M70&gt;0,N70*100/M70,0)</f>
        <v>60.247137711036849</v>
      </c>
    </row>
    <row r="71" spans="1:16" ht="21.75" customHeight="1" x14ac:dyDescent="0.35">
      <c r="A71" s="162"/>
      <c r="B71" s="163"/>
      <c r="C71" s="163"/>
      <c r="D71" s="170"/>
      <c r="E71" s="171"/>
      <c r="F71" s="171"/>
      <c r="G71" s="176" t="s">
        <v>41</v>
      </c>
      <c r="H71" s="165" t="s">
        <v>12</v>
      </c>
      <c r="I71" s="166"/>
      <c r="J71" s="166"/>
      <c r="K71" s="167"/>
      <c r="L71" s="173">
        <f ca="1">IFERROR(__xludf.DUMMYFUNCTION("IMPORTRANGE(""https://docs.google.com/spreadsheets/d/1Yj_ptqi66GCucihVvJfMjLAmec39IyEx_6qawtMGysU/edit?usp=sharing"",""สบก!AE88"")"),188200)</f>
        <v>188200</v>
      </c>
      <c r="M71" s="172"/>
      <c r="N71" s="172"/>
      <c r="O71" s="175"/>
      <c r="P71" s="175"/>
    </row>
    <row r="72" spans="1:16" ht="21.75" customHeight="1" x14ac:dyDescent="0.35">
      <c r="A72" s="162"/>
      <c r="B72" s="163"/>
      <c r="C72" s="163"/>
      <c r="D72" s="170"/>
      <c r="E72" s="171"/>
      <c r="F72" s="171"/>
      <c r="G72" s="176" t="s">
        <v>42</v>
      </c>
      <c r="H72" s="165" t="s">
        <v>12</v>
      </c>
      <c r="I72" s="166"/>
      <c r="J72" s="166"/>
      <c r="K72" s="167"/>
      <c r="L72" s="173">
        <f ca="1">IFERROR(__xludf.DUMMYFUNCTION("IMPORTRANGE(""https://docs.google.com/spreadsheets/d/1Yj_ptqi66GCucihVvJfMjLAmec39IyEx_6qawtMGysU/edit?usp=sharing"",""สบก!AF88"")"),392000)</f>
        <v>392000</v>
      </c>
      <c r="M72" s="172"/>
      <c r="N72" s="172"/>
      <c r="O72" s="175"/>
      <c r="P72" s="175"/>
    </row>
    <row r="73" spans="1:16" ht="21.75" customHeight="1" x14ac:dyDescent="0.45">
      <c r="A73" s="177"/>
      <c r="B73" s="81"/>
      <c r="C73" s="82" t="s">
        <v>16</v>
      </c>
      <c r="D73" s="529" t="s">
        <v>23</v>
      </c>
      <c r="E73" s="528"/>
      <c r="F73" s="89"/>
      <c r="G73" s="83" t="s">
        <v>18</v>
      </c>
      <c r="H73" s="178" t="s">
        <v>12</v>
      </c>
      <c r="I73" s="85"/>
      <c r="J73" s="85"/>
      <c r="K73" s="86"/>
      <c r="L73" s="93">
        <v>0</v>
      </c>
      <c r="M73" s="93"/>
      <c r="N73" s="42"/>
      <c r="O73" s="93"/>
      <c r="P73" s="93"/>
    </row>
    <row r="74" spans="1:16" ht="21.75" customHeight="1" x14ac:dyDescent="0.45">
      <c r="A74" s="179"/>
      <c r="B74" s="95"/>
      <c r="C74" s="95"/>
      <c r="D74" s="180"/>
      <c r="E74" s="96"/>
      <c r="F74" s="96"/>
      <c r="G74" s="97" t="s">
        <v>19</v>
      </c>
      <c r="H74" s="181" t="s">
        <v>12</v>
      </c>
      <c r="I74" s="99"/>
      <c r="J74" s="99"/>
      <c r="K74" s="100"/>
      <c r="L74" s="91">
        <f ca="1">IFERROR(__xludf.DUMMYFUNCTION("IMPORTRANGE(""https://docs.google.com/spreadsheets/d/1Yj_ptqi66GCucihVvJfMjLAmec39IyEx_6qawtMGysU/edit?usp=sharing"",""สบก!AG88"")"),0)</f>
        <v>0</v>
      </c>
      <c r="M74" s="101"/>
      <c r="N74" s="91">
        <f ca="1">IFERROR(__xludf.DUMMYFUNCTION("IMPORTRANGE(""https://docs.google.com/spreadsheets/d/1Yj_ptqi66GCucihVvJfMjLAmec39IyEx_6qawtMGysU/edit?usp=sharing"",""สบก!AK88"")"),0)</f>
        <v>0</v>
      </c>
      <c r="O74" s="101">
        <f ca="1">IF(L74&gt;0,N74*100/L74,0)</f>
        <v>0</v>
      </c>
      <c r="P74" s="101"/>
    </row>
    <row r="75" spans="1:16" ht="21.75" customHeight="1" x14ac:dyDescent="0.35">
      <c r="A75" s="182"/>
      <c r="B75" s="183"/>
      <c r="C75" s="163" t="s">
        <v>16</v>
      </c>
      <c r="D75" s="184" t="s">
        <v>43</v>
      </c>
      <c r="E75" s="185"/>
      <c r="F75" s="185"/>
      <c r="G75" s="186"/>
      <c r="H75" s="187"/>
      <c r="I75" s="166"/>
      <c r="J75" s="166"/>
      <c r="K75" s="167"/>
      <c r="L75" s="188"/>
      <c r="M75" s="188"/>
      <c r="N75" s="188"/>
      <c r="O75" s="188"/>
      <c r="P75" s="188"/>
    </row>
    <row r="76" spans="1:16" ht="21.75" customHeight="1" x14ac:dyDescent="0.35">
      <c r="A76" s="182"/>
      <c r="B76" s="183"/>
      <c r="C76" s="183"/>
      <c r="D76" s="189">
        <v>1</v>
      </c>
      <c r="E76" s="190" t="s">
        <v>44</v>
      </c>
      <c r="F76" s="191"/>
      <c r="G76" s="192"/>
      <c r="H76" s="193"/>
      <c r="I76" s="194"/>
      <c r="J76" s="195">
        <f ca="1">IFERROR(__xludf.DUMMYFUNCTION("IMPORTRANGE(""https://docs.google.com/spreadsheets/d/1IYY_tgx_IHuhSq3AJ5eI5OnqOPBNLWSHKh2a30DoXe8/edit?usp=sharing"",""พัทลุง!J16"")"),0)</f>
        <v>0</v>
      </c>
      <c r="K76" s="167"/>
      <c r="L76" s="188"/>
      <c r="M76" s="188"/>
      <c r="N76" s="188"/>
      <c r="O76" s="188"/>
      <c r="P76" s="188"/>
    </row>
    <row r="77" spans="1:16" ht="21.75" customHeight="1" x14ac:dyDescent="0.35">
      <c r="A77" s="182"/>
      <c r="B77" s="183"/>
      <c r="C77" s="183"/>
      <c r="D77" s="196">
        <v>2</v>
      </c>
      <c r="E77" s="197" t="s">
        <v>45</v>
      </c>
      <c r="F77" s="198"/>
      <c r="G77" s="199"/>
      <c r="H77" s="193"/>
      <c r="I77" s="194"/>
      <c r="J77" s="195">
        <f ca="1">IFERROR(__xludf.DUMMYFUNCTION("IMPORTRANGE(""https://docs.google.com/spreadsheets/d/1IYY_tgx_IHuhSq3AJ5eI5OnqOPBNLWSHKh2a30DoXe8/edit?usp=sharing"",""พัทลุง!J17"")"),1)</f>
        <v>1</v>
      </c>
      <c r="K77" s="167"/>
      <c r="L77" s="188" t="s">
        <v>39</v>
      </c>
      <c r="M77" s="188"/>
      <c r="N77" s="188" t="s">
        <v>39</v>
      </c>
      <c r="O77" s="188"/>
      <c r="P77" s="188"/>
    </row>
    <row r="78" spans="1:16" ht="21.75" customHeight="1" x14ac:dyDescent="0.35">
      <c r="A78" s="182"/>
      <c r="B78" s="183"/>
      <c r="C78" s="183"/>
      <c r="D78" s="200"/>
      <c r="E78" s="201" t="s">
        <v>46</v>
      </c>
      <c r="F78" s="202"/>
      <c r="G78" s="203"/>
      <c r="H78" s="193"/>
      <c r="I78" s="194"/>
      <c r="J78" s="195">
        <f ca="1">IFERROR(__xludf.DUMMYFUNCTION("IMPORTRANGE(""https://docs.google.com/spreadsheets/d/1IYY_tgx_IHuhSq3AJ5eI5OnqOPBNLWSHKh2a30DoXe8/edit?usp=sharing"",""พัทลุง!J18"")"),1)</f>
        <v>1</v>
      </c>
      <c r="K78" s="167"/>
      <c r="L78" s="188"/>
      <c r="M78" s="188"/>
      <c r="N78" s="188"/>
      <c r="O78" s="188"/>
      <c r="P78" s="188"/>
    </row>
    <row r="79" spans="1:16" ht="21.75" customHeight="1" x14ac:dyDescent="0.35">
      <c r="A79" s="182"/>
      <c r="B79" s="183"/>
      <c r="C79" s="183"/>
      <c r="D79" s="200"/>
      <c r="E79" s="201" t="s">
        <v>47</v>
      </c>
      <c r="F79" s="202"/>
      <c r="G79" s="203"/>
      <c r="H79" s="193"/>
      <c r="I79" s="194"/>
      <c r="J79" s="204">
        <f ca="1">IFERROR(__xludf.DUMMYFUNCTION("IMPORTRANGE(""https://docs.google.com/spreadsheets/d/1IYY_tgx_IHuhSq3AJ5eI5OnqOPBNLWSHKh2a30DoXe8/edit?usp=sharing"",""พัทลุง!J19"")"),1)</f>
        <v>1</v>
      </c>
      <c r="K79" s="167"/>
      <c r="L79" s="188"/>
      <c r="M79" s="188"/>
      <c r="N79" s="188"/>
      <c r="O79" s="188"/>
      <c r="P79" s="188"/>
    </row>
    <row r="80" spans="1:16" ht="21.75" customHeight="1" x14ac:dyDescent="0.35">
      <c r="A80" s="182"/>
      <c r="B80" s="183"/>
      <c r="C80" s="183"/>
      <c r="D80" s="200"/>
      <c r="E80" s="205"/>
      <c r="F80" s="201" t="s">
        <v>48</v>
      </c>
      <c r="G80" s="202"/>
      <c r="H80" s="206" t="s">
        <v>36</v>
      </c>
      <c r="I80" s="207">
        <f ca="1">IFERROR(__xludf.DUMMYFUNCTION("IMPORTRANGE(""https://docs.google.com/spreadsheets/d/1IYY_tgx_IHuhSq3AJ5eI5OnqOPBNLWSHKh2a30DoXe8/edit?usp=sharing"",""พัทลุง!I20"")"),1)</f>
        <v>1</v>
      </c>
      <c r="J80" s="207">
        <f ca="1">IFERROR(__xludf.DUMMYFUNCTION("IMPORTRANGE(""https://docs.google.com/spreadsheets/d/1IYY_tgx_IHuhSq3AJ5eI5OnqOPBNLWSHKh2a30DoXe8/edit?usp=sharing"",""พัทลุง!J20"")"),1)</f>
        <v>1</v>
      </c>
      <c r="K80" s="208">
        <f t="shared" ref="K80:K88" ca="1" si="49">IF(I80&gt;0,J80*100/I80,0)</f>
        <v>100</v>
      </c>
      <c r="L80" s="188"/>
      <c r="M80" s="188"/>
      <c r="N80" s="188"/>
      <c r="O80" s="188"/>
      <c r="P80" s="188"/>
    </row>
    <row r="81" spans="1:16" ht="21.75" customHeight="1" x14ac:dyDescent="0.35">
      <c r="A81" s="182"/>
      <c r="B81" s="183"/>
      <c r="C81" s="183"/>
      <c r="D81" s="200"/>
      <c r="E81" s="205"/>
      <c r="F81" s="202"/>
      <c r="G81" s="203"/>
      <c r="H81" s="206" t="s">
        <v>37</v>
      </c>
      <c r="I81" s="207">
        <f ca="1">IFERROR(__xludf.DUMMYFUNCTION("IMPORTRANGE(""https://docs.google.com/spreadsheets/d/1IYY_tgx_IHuhSq3AJ5eI5OnqOPBNLWSHKh2a30DoXe8/edit?usp=sharing"",""พัทลุง!I21"")"),30)</f>
        <v>30</v>
      </c>
      <c r="J81" s="207">
        <f ca="1">IFERROR(__xludf.DUMMYFUNCTION("IMPORTRANGE(""https://docs.google.com/spreadsheets/d/1IYY_tgx_IHuhSq3AJ5eI5OnqOPBNLWSHKh2a30DoXe8/edit?usp=sharing"",""พัทลุง!J21"")"),30)</f>
        <v>30</v>
      </c>
      <c r="K81" s="208">
        <f t="shared" ca="1" si="49"/>
        <v>100</v>
      </c>
      <c r="L81" s="188"/>
      <c r="M81" s="188"/>
      <c r="N81" s="188"/>
      <c r="O81" s="188"/>
      <c r="P81" s="188"/>
    </row>
    <row r="82" spans="1:16" ht="21.75" customHeight="1" x14ac:dyDescent="0.35">
      <c r="A82" s="182"/>
      <c r="B82" s="183"/>
      <c r="C82" s="183"/>
      <c r="D82" s="200"/>
      <c r="E82" s="205"/>
      <c r="F82" s="202"/>
      <c r="G82" s="202" t="s">
        <v>49</v>
      </c>
      <c r="H82" s="187" t="s">
        <v>36</v>
      </c>
      <c r="I82" s="209">
        <f ca="1">IFERROR(__xludf.DUMMYFUNCTION("IMPORTRANGE(""https://docs.google.com/spreadsheets/d/1IYY_tgx_IHuhSq3AJ5eI5OnqOPBNLWSHKh2a30DoXe8/edit?usp=sharing"",""พัทลุง!I22"")"),1)</f>
        <v>1</v>
      </c>
      <c r="J82" s="210">
        <f ca="1">IFERROR(__xludf.DUMMYFUNCTION("IMPORTRANGE(""https://docs.google.com/spreadsheets/d/1IYY_tgx_IHuhSq3AJ5eI5OnqOPBNLWSHKh2a30DoXe8/edit?usp=sharing"",""พัทลุง!J22"")"),1)</f>
        <v>1</v>
      </c>
      <c r="K82" s="167">
        <f t="shared" ca="1" si="49"/>
        <v>100</v>
      </c>
      <c r="L82" s="188"/>
      <c r="M82" s="188"/>
      <c r="N82" s="188"/>
      <c r="O82" s="188"/>
      <c r="P82" s="188"/>
    </row>
    <row r="83" spans="1:16" ht="21.75" customHeight="1" x14ac:dyDescent="0.35">
      <c r="A83" s="182"/>
      <c r="B83" s="183"/>
      <c r="C83" s="183"/>
      <c r="D83" s="200"/>
      <c r="E83" s="205"/>
      <c r="F83" s="202"/>
      <c r="G83" s="203"/>
      <c r="H83" s="187" t="s">
        <v>37</v>
      </c>
      <c r="I83" s="209">
        <f ca="1">IFERROR(__xludf.DUMMYFUNCTION("IMPORTRANGE(""https://docs.google.com/spreadsheets/d/1IYY_tgx_IHuhSq3AJ5eI5OnqOPBNLWSHKh2a30DoXe8/edit?usp=sharing"",""พัทลุง!I23"")"),30)</f>
        <v>30</v>
      </c>
      <c r="J83" s="210">
        <f ca="1">IFERROR(__xludf.DUMMYFUNCTION("IMPORTRANGE(""https://docs.google.com/spreadsheets/d/1IYY_tgx_IHuhSq3AJ5eI5OnqOPBNLWSHKh2a30DoXe8/edit?usp=sharing"",""พัทลุง!J23"")"),30)</f>
        <v>30</v>
      </c>
      <c r="K83" s="167">
        <f t="shared" ca="1" si="49"/>
        <v>100</v>
      </c>
      <c r="L83" s="188"/>
      <c r="M83" s="188"/>
      <c r="N83" s="188"/>
      <c r="O83" s="188"/>
      <c r="P83" s="188"/>
    </row>
    <row r="84" spans="1:16" ht="21.75" customHeight="1" x14ac:dyDescent="0.35">
      <c r="A84" s="182"/>
      <c r="B84" s="183"/>
      <c r="C84" s="183"/>
      <c r="D84" s="200"/>
      <c r="E84" s="205"/>
      <c r="F84" s="202"/>
      <c r="G84" s="202" t="s">
        <v>50</v>
      </c>
      <c r="H84" s="187" t="s">
        <v>36</v>
      </c>
      <c r="I84" s="209">
        <f ca="1">IFERROR(__xludf.DUMMYFUNCTION("IMPORTRANGE(""https://docs.google.com/spreadsheets/d/1IYY_tgx_IHuhSq3AJ5eI5OnqOPBNLWSHKh2a30DoXe8/edit?usp=sharing"",""พัทลุง!I24"")"),0)</f>
        <v>0</v>
      </c>
      <c r="J84" s="195">
        <f ca="1">IFERROR(__xludf.DUMMYFUNCTION("IMPORTRANGE(""https://docs.google.com/spreadsheets/d/1IYY_tgx_IHuhSq3AJ5eI5OnqOPBNLWSHKh2a30DoXe8/edit?usp=sharing"",""พัทลุง!J24"")"),0)</f>
        <v>0</v>
      </c>
      <c r="K84" s="167">
        <f t="shared" ca="1" si="49"/>
        <v>0</v>
      </c>
      <c r="L84" s="188"/>
      <c r="M84" s="188"/>
      <c r="N84" s="188"/>
      <c r="O84" s="188"/>
      <c r="P84" s="188"/>
    </row>
    <row r="85" spans="1:16" ht="21.75" customHeight="1" x14ac:dyDescent="0.35">
      <c r="A85" s="182"/>
      <c r="B85" s="183"/>
      <c r="C85" s="183"/>
      <c r="D85" s="200"/>
      <c r="E85" s="205"/>
      <c r="F85" s="202"/>
      <c r="G85" s="203"/>
      <c r="H85" s="187" t="s">
        <v>37</v>
      </c>
      <c r="I85" s="209">
        <f ca="1">IFERROR(__xludf.DUMMYFUNCTION("IMPORTRANGE(""https://docs.google.com/spreadsheets/d/1IYY_tgx_IHuhSq3AJ5eI5OnqOPBNLWSHKh2a30DoXe8/edit?usp=sharing"",""พัทลุง!I25"")"),0)</f>
        <v>0</v>
      </c>
      <c r="J85" s="195">
        <f ca="1">IFERROR(__xludf.DUMMYFUNCTION("IMPORTRANGE(""https://docs.google.com/spreadsheets/d/1IYY_tgx_IHuhSq3AJ5eI5OnqOPBNLWSHKh2a30DoXe8/edit?usp=sharing"",""พัทลุง!J25"")"),0)</f>
        <v>0</v>
      </c>
      <c r="K85" s="167">
        <f t="shared" ca="1" si="49"/>
        <v>0</v>
      </c>
      <c r="L85" s="188"/>
      <c r="M85" s="188"/>
      <c r="N85" s="188"/>
      <c r="O85" s="188"/>
      <c r="P85" s="188"/>
    </row>
    <row r="86" spans="1:16" ht="21.75" customHeight="1" x14ac:dyDescent="0.35">
      <c r="A86" s="182"/>
      <c r="B86" s="183"/>
      <c r="C86" s="183"/>
      <c r="D86" s="200"/>
      <c r="E86" s="205"/>
      <c r="F86" s="202"/>
      <c r="G86" s="202" t="s">
        <v>51</v>
      </c>
      <c r="H86" s="187" t="s">
        <v>36</v>
      </c>
      <c r="I86" s="209">
        <f ca="1">IFERROR(__xludf.DUMMYFUNCTION("IMPORTRANGE(""https://docs.google.com/spreadsheets/d/1IYY_tgx_IHuhSq3AJ5eI5OnqOPBNLWSHKh2a30DoXe8/edit?usp=sharing"",""พัทลุง!I26"")"),0)</f>
        <v>0</v>
      </c>
      <c r="J86" s="210">
        <f ca="1">IFERROR(__xludf.DUMMYFUNCTION("IMPORTRANGE(""https://docs.google.com/spreadsheets/d/1IYY_tgx_IHuhSq3AJ5eI5OnqOPBNLWSHKh2a30DoXe8/edit?usp=sharing"",""พัทลุง!J26"")"),0)</f>
        <v>0</v>
      </c>
      <c r="K86" s="167">
        <f t="shared" ca="1" si="49"/>
        <v>0</v>
      </c>
      <c r="L86" s="188"/>
      <c r="M86" s="188"/>
      <c r="N86" s="188"/>
      <c r="O86" s="188"/>
      <c r="P86" s="188"/>
    </row>
    <row r="87" spans="1:16" ht="21.75" customHeight="1" x14ac:dyDescent="0.35">
      <c r="A87" s="182"/>
      <c r="B87" s="183"/>
      <c r="C87" s="183"/>
      <c r="D87" s="200"/>
      <c r="E87" s="205"/>
      <c r="F87" s="202"/>
      <c r="G87" s="203"/>
      <c r="H87" s="187" t="s">
        <v>37</v>
      </c>
      <c r="I87" s="209">
        <f ca="1">IFERROR(__xludf.DUMMYFUNCTION("IMPORTRANGE(""https://docs.google.com/spreadsheets/d/1IYY_tgx_IHuhSq3AJ5eI5OnqOPBNLWSHKh2a30DoXe8/edit?usp=sharing"",""พัทลุง!I27"")"),0)</f>
        <v>0</v>
      </c>
      <c r="J87" s="210">
        <f ca="1">IFERROR(__xludf.DUMMYFUNCTION("IMPORTRANGE(""https://docs.google.com/spreadsheets/d/1IYY_tgx_IHuhSq3AJ5eI5OnqOPBNLWSHKh2a30DoXe8/edit?usp=sharing"",""พัทลุง!J27"")"),0)</f>
        <v>0</v>
      </c>
      <c r="K87" s="167">
        <f t="shared" ca="1" si="49"/>
        <v>0</v>
      </c>
      <c r="L87" s="188"/>
      <c r="M87" s="188"/>
      <c r="N87" s="188"/>
      <c r="O87" s="188"/>
      <c r="P87" s="188"/>
    </row>
    <row r="88" spans="1:16" ht="21.75" customHeight="1" x14ac:dyDescent="0.35">
      <c r="A88" s="182"/>
      <c r="B88" s="183"/>
      <c r="C88" s="183"/>
      <c r="D88" s="200"/>
      <c r="E88" s="205"/>
      <c r="F88" s="211" t="s">
        <v>52</v>
      </c>
      <c r="G88" s="202"/>
      <c r="H88" s="187" t="s">
        <v>37</v>
      </c>
      <c r="I88" s="209">
        <f ca="1">IFERROR(__xludf.DUMMYFUNCTION("IMPORTRANGE(""https://docs.google.com/spreadsheets/d/1IYY_tgx_IHuhSq3AJ5eI5OnqOPBNLWSHKh2a30DoXe8/edit?usp=sharing"",""พัทลุง!I28"")"),30)</f>
        <v>30</v>
      </c>
      <c r="J88" s="210">
        <f ca="1">IFERROR(__xludf.DUMMYFUNCTION("IMPORTRANGE(""https://docs.google.com/spreadsheets/d/1IYY_tgx_IHuhSq3AJ5eI5OnqOPBNLWSHKh2a30DoXe8/edit?usp=sharing"",""พัทลุง!J28"")"),0)</f>
        <v>0</v>
      </c>
      <c r="K88" s="167">
        <f t="shared" ca="1" si="49"/>
        <v>0</v>
      </c>
      <c r="L88" s="188"/>
      <c r="M88" s="188"/>
      <c r="N88" s="188"/>
      <c r="O88" s="188"/>
      <c r="P88" s="188"/>
    </row>
    <row r="89" spans="1:16" ht="21.75" customHeight="1" x14ac:dyDescent="0.35">
      <c r="A89" s="182"/>
      <c r="B89" s="183"/>
      <c r="C89" s="183"/>
      <c r="D89" s="200"/>
      <c r="E89" s="201" t="s">
        <v>53</v>
      </c>
      <c r="F89" s="202"/>
      <c r="G89" s="203"/>
      <c r="H89" s="193"/>
      <c r="I89" s="194"/>
      <c r="J89" s="204">
        <f ca="1">IFERROR(__xludf.DUMMYFUNCTION("IMPORTRANGE(""https://docs.google.com/spreadsheets/d/1IYY_tgx_IHuhSq3AJ5eI5OnqOPBNLWSHKh2a30DoXe8/edit?usp=sharing"",""พัทลุง!J29"")"),0)</f>
        <v>0</v>
      </c>
      <c r="K89" s="167"/>
      <c r="L89" s="188"/>
      <c r="M89" s="188"/>
      <c r="N89" s="188"/>
      <c r="O89" s="188"/>
      <c r="P89" s="188"/>
    </row>
    <row r="90" spans="1:16" ht="21.75" customHeight="1" x14ac:dyDescent="0.35">
      <c r="A90" s="182"/>
      <c r="B90" s="183"/>
      <c r="C90" s="183"/>
      <c r="D90" s="212">
        <v>3</v>
      </c>
      <c r="E90" s="213" t="s">
        <v>54</v>
      </c>
      <c r="F90" s="214"/>
      <c r="G90" s="215"/>
      <c r="H90" s="193"/>
      <c r="I90" s="194"/>
      <c r="J90" s="216">
        <f ca="1">IFERROR(__xludf.DUMMYFUNCTION("IMPORTRANGE(""https://docs.google.com/spreadsheets/d/1IYY_tgx_IHuhSq3AJ5eI5OnqOPBNLWSHKh2a30DoXe8/edit?usp=sharing"",""พัทลุง!J30"")"),0)</f>
        <v>0</v>
      </c>
      <c r="K90" s="167"/>
      <c r="L90" s="188"/>
      <c r="M90" s="188"/>
      <c r="N90" s="188"/>
      <c r="O90" s="188"/>
      <c r="P90" s="188"/>
    </row>
    <row r="91" spans="1:16" ht="21.75" customHeight="1" x14ac:dyDescent="0.35">
      <c r="A91" s="217" t="s">
        <v>55</v>
      </c>
      <c r="B91" s="218"/>
      <c r="C91" s="219"/>
      <c r="D91" s="218"/>
      <c r="E91" s="220"/>
      <c r="F91" s="220"/>
      <c r="G91" s="221"/>
      <c r="H91" s="222"/>
      <c r="I91" s="223"/>
      <c r="J91" s="223"/>
      <c r="K91" s="224"/>
      <c r="L91" s="225"/>
      <c r="M91" s="225"/>
      <c r="N91" s="225"/>
      <c r="O91" s="226"/>
      <c r="P91" s="226"/>
    </row>
    <row r="92" spans="1:16" ht="21.75" customHeight="1" x14ac:dyDescent="0.35">
      <c r="A92" s="142"/>
      <c r="B92" s="143" t="s">
        <v>56</v>
      </c>
      <c r="C92" s="143"/>
      <c r="D92" s="144"/>
      <c r="E92" s="143"/>
      <c r="F92" s="143"/>
      <c r="G92" s="227"/>
      <c r="H92" s="145" t="s">
        <v>37</v>
      </c>
      <c r="I92" s="146">
        <f ca="1">IFERROR(__xludf.DUMMYFUNCTION("IMPORTRANGE(""https://docs.google.com/spreadsheets/d/1IYY_tgx_IHuhSq3AJ5eI5OnqOPBNLWSHKh2a30DoXe8/edit?usp=sharing"",""พัทลุง!I32"")"),4)</f>
        <v>4</v>
      </c>
      <c r="J92" s="146">
        <f ca="1">IFERROR(__xludf.DUMMYFUNCTION("IMPORTRANGE(""https://docs.google.com/spreadsheets/d/1IYY_tgx_IHuhSq3AJ5eI5OnqOPBNLWSHKh2a30DoXe8/edit?usp=sharing"",""พัทลุง!J32"")"),4)</f>
        <v>4</v>
      </c>
      <c r="K92" s="147">
        <f t="shared" ref="K92:K93" ca="1" si="50">IF(I92&gt;0,J92*100/I92,0)</f>
        <v>100</v>
      </c>
      <c r="L92" s="228"/>
      <c r="M92" s="228"/>
      <c r="N92" s="229"/>
      <c r="O92" s="147"/>
      <c r="P92" s="147"/>
    </row>
    <row r="93" spans="1:16" ht="21.75" customHeight="1" x14ac:dyDescent="0.35">
      <c r="A93" s="142"/>
      <c r="B93" s="143"/>
      <c r="C93" s="143"/>
      <c r="D93" s="144" t="s">
        <v>57</v>
      </c>
      <c r="E93" s="143"/>
      <c r="F93" s="143"/>
      <c r="G93" s="227"/>
      <c r="H93" s="145" t="s">
        <v>58</v>
      </c>
      <c r="I93" s="146">
        <f ca="1">IFERROR(__xludf.DUMMYFUNCTION("IMPORTRANGE(""https://docs.google.com/spreadsheets/d/1IYY_tgx_IHuhSq3AJ5eI5OnqOPBNLWSHKh2a30DoXe8/edit?usp=sharing"",""พัทลุง!I33"")"),1)</f>
        <v>1</v>
      </c>
      <c r="J93" s="146">
        <f ca="1">IFERROR(__xludf.DUMMYFUNCTION("IMPORTRANGE(""https://docs.google.com/spreadsheets/d/1IYY_tgx_IHuhSq3AJ5eI5OnqOPBNLWSHKh2a30DoXe8/edit?usp=sharing"",""พัทลุง!J33"")"),1)</f>
        <v>1</v>
      </c>
      <c r="K93" s="147">
        <f t="shared" ca="1" si="50"/>
        <v>100</v>
      </c>
      <c r="L93" s="229"/>
      <c r="M93" s="229"/>
      <c r="N93" s="229"/>
      <c r="O93" s="147"/>
      <c r="P93" s="147"/>
    </row>
    <row r="94" spans="1:16" ht="21.75" customHeight="1" x14ac:dyDescent="0.45">
      <c r="A94" s="150"/>
      <c r="B94" s="151"/>
      <c r="C94" s="152" t="s">
        <v>16</v>
      </c>
      <c r="D94" s="530" t="s">
        <v>17</v>
      </c>
      <c r="E94" s="531"/>
      <c r="F94" s="531"/>
      <c r="G94" s="531"/>
      <c r="H94" s="153" t="s">
        <v>12</v>
      </c>
      <c r="I94" s="166"/>
      <c r="J94" s="166"/>
      <c r="K94" s="167"/>
      <c r="L94" s="156">
        <f t="shared" ref="L94:N94" ca="1" si="51">L95+L96</f>
        <v>214500</v>
      </c>
      <c r="M94" s="156">
        <f t="shared" ca="1" si="51"/>
        <v>214500</v>
      </c>
      <c r="N94" s="156">
        <f t="shared" ca="1" si="51"/>
        <v>124780</v>
      </c>
      <c r="O94" s="155">
        <f t="shared" ref="O94:O96" ca="1" si="52">IF(L94&gt;0,N94*100/L94,0)</f>
        <v>58.172494172494176</v>
      </c>
      <c r="P94" s="155">
        <f t="shared" ref="P94:P96" ca="1" si="53">IF(M94&gt;0,N94*100/M94,0)</f>
        <v>58.172494172494176</v>
      </c>
    </row>
    <row r="95" spans="1:16" ht="21.75" customHeight="1" x14ac:dyDescent="0.45">
      <c r="A95" s="157"/>
      <c r="B95" s="32"/>
      <c r="C95" s="32"/>
      <c r="D95" s="32"/>
      <c r="E95" s="32"/>
      <c r="F95" s="32"/>
      <c r="G95" s="33" t="s">
        <v>18</v>
      </c>
      <c r="H95" s="158" t="s">
        <v>12</v>
      </c>
      <c r="I95" s="166"/>
      <c r="J95" s="166"/>
      <c r="K95" s="167"/>
      <c r="L95" s="161">
        <f t="shared" ref="L95:N95" si="54">L97+L101</f>
        <v>0</v>
      </c>
      <c r="M95" s="161">
        <f t="shared" si="54"/>
        <v>0</v>
      </c>
      <c r="N95" s="161">
        <f t="shared" si="54"/>
        <v>0</v>
      </c>
      <c r="O95" s="160">
        <f t="shared" si="52"/>
        <v>0</v>
      </c>
      <c r="P95" s="160">
        <f t="shared" si="53"/>
        <v>0</v>
      </c>
    </row>
    <row r="96" spans="1:16" ht="21.75" customHeight="1" x14ac:dyDescent="0.45">
      <c r="A96" s="157"/>
      <c r="B96" s="32"/>
      <c r="C96" s="32"/>
      <c r="D96" s="32"/>
      <c r="E96" s="32"/>
      <c r="F96" s="32"/>
      <c r="G96" s="33" t="s">
        <v>19</v>
      </c>
      <c r="H96" s="158" t="s">
        <v>12</v>
      </c>
      <c r="I96" s="166"/>
      <c r="J96" s="166"/>
      <c r="K96" s="167"/>
      <c r="L96" s="161">
        <f t="shared" ref="L96:N96" ca="1" si="55">L98+L102</f>
        <v>214500</v>
      </c>
      <c r="M96" s="161">
        <f t="shared" ca="1" si="55"/>
        <v>214500</v>
      </c>
      <c r="N96" s="161">
        <f t="shared" ca="1" si="55"/>
        <v>124780</v>
      </c>
      <c r="O96" s="160">
        <f t="shared" ca="1" si="52"/>
        <v>58.172494172494176</v>
      </c>
      <c r="P96" s="160">
        <f t="shared" ca="1" si="53"/>
        <v>58.172494172494176</v>
      </c>
    </row>
    <row r="97" spans="1:16" ht="21.75" customHeight="1" x14ac:dyDescent="0.45">
      <c r="A97" s="162"/>
      <c r="B97" s="163"/>
      <c r="C97" s="163" t="s">
        <v>16</v>
      </c>
      <c r="D97" s="527" t="s">
        <v>20</v>
      </c>
      <c r="E97" s="528"/>
      <c r="F97" s="528"/>
      <c r="G97" s="164" t="s">
        <v>38</v>
      </c>
      <c r="H97" s="165" t="s">
        <v>12</v>
      </c>
      <c r="I97" s="166" t="s">
        <v>39</v>
      </c>
      <c r="J97" s="166"/>
      <c r="K97" s="167"/>
      <c r="L97" s="168">
        <v>0</v>
      </c>
      <c r="M97" s="168"/>
      <c r="N97" s="168">
        <v>0</v>
      </c>
      <c r="O97" s="169">
        <f>+IF(L97&gt;0,N97*100/L97,0)</f>
        <v>0</v>
      </c>
      <c r="P97" s="169"/>
    </row>
    <row r="98" spans="1:16" ht="21.75" customHeight="1" x14ac:dyDescent="0.35">
      <c r="A98" s="162"/>
      <c r="B98" s="163"/>
      <c r="C98" s="163"/>
      <c r="D98" s="170"/>
      <c r="E98" s="171"/>
      <c r="F98" s="171" t="s">
        <v>39</v>
      </c>
      <c r="G98" s="164" t="s">
        <v>40</v>
      </c>
      <c r="H98" s="165" t="s">
        <v>12</v>
      </c>
      <c r="I98" s="166"/>
      <c r="J98" s="166"/>
      <c r="K98" s="167"/>
      <c r="L98" s="172">
        <f ca="1">L99+L100</f>
        <v>122100</v>
      </c>
      <c r="M98" s="173">
        <f ca="1">IFERROR(__xludf.DUMMYFUNCTION("IMPORTRANGE(""https://docs.google.com/spreadsheets/d/1Yj_ptqi66GCucihVvJfMjLAmec39IyEx_6qawtMGysU/edit?usp=sharing"",""สบก!AR88"")"),122100)</f>
        <v>122100</v>
      </c>
      <c r="N98" s="174">
        <f ca="1">IFERROR(__xludf.DUMMYFUNCTION("IMPORTRANGE(""https://docs.google.com/spreadsheets/d/1Yj_ptqi66GCucihVvJfMjLAmec39IyEx_6qawtMGysU/edit?usp=sharing"",""สบก!AS88"")"),32380)</f>
        <v>32380</v>
      </c>
      <c r="O98" s="175">
        <f ca="1">IF(L98&gt;0,N98*100/L98,0)</f>
        <v>26.519246519246519</v>
      </c>
      <c r="P98" s="175">
        <f ca="1">IF(M98&gt;0,N98*100/M98,0)</f>
        <v>26.519246519246519</v>
      </c>
    </row>
    <row r="99" spans="1:16" ht="21.75" customHeight="1" x14ac:dyDescent="0.35">
      <c r="A99" s="162"/>
      <c r="B99" s="163"/>
      <c r="C99" s="163"/>
      <c r="D99" s="170"/>
      <c r="E99" s="171"/>
      <c r="F99" s="171"/>
      <c r="G99" s="176" t="s">
        <v>41</v>
      </c>
      <c r="H99" s="165" t="s">
        <v>12</v>
      </c>
      <c r="I99" s="166"/>
      <c r="J99" s="166"/>
      <c r="K99" s="167"/>
      <c r="L99" s="173">
        <f ca="1">IFERROR(__xludf.DUMMYFUNCTION("IMPORTRANGE(""https://docs.google.com/spreadsheets/d/1Yj_ptqi66GCucihVvJfMjLAmec39IyEx_6qawtMGysU/edit?usp=sharing"",""สบก!AN88"")"),0)</f>
        <v>0</v>
      </c>
      <c r="M99" s="172"/>
      <c r="N99" s="172"/>
      <c r="O99" s="175"/>
      <c r="P99" s="175"/>
    </row>
    <row r="100" spans="1:16" ht="21.75" customHeight="1" x14ac:dyDescent="0.35">
      <c r="A100" s="162"/>
      <c r="B100" s="163"/>
      <c r="C100" s="163"/>
      <c r="D100" s="170"/>
      <c r="E100" s="171"/>
      <c r="F100" s="171"/>
      <c r="G100" s="176" t="s">
        <v>42</v>
      </c>
      <c r="H100" s="165" t="s">
        <v>12</v>
      </c>
      <c r="I100" s="166"/>
      <c r="J100" s="194"/>
      <c r="K100" s="230"/>
      <c r="L100" s="173">
        <f ca="1">IFERROR(__xludf.DUMMYFUNCTION("IMPORTRANGE(""https://docs.google.com/spreadsheets/d/1Yj_ptqi66GCucihVvJfMjLAmec39IyEx_6qawtMGysU/edit?usp=sharing"",""สบก!AO88"")"),122100)</f>
        <v>122100</v>
      </c>
      <c r="M100" s="172"/>
      <c r="N100" s="172"/>
      <c r="O100" s="175"/>
      <c r="P100" s="175"/>
    </row>
    <row r="101" spans="1:16" ht="21.75" customHeight="1" x14ac:dyDescent="0.45">
      <c r="A101" s="177"/>
      <c r="B101" s="81"/>
      <c r="C101" s="82" t="s">
        <v>16</v>
      </c>
      <c r="D101" s="529" t="s">
        <v>23</v>
      </c>
      <c r="E101" s="528"/>
      <c r="F101" s="89"/>
      <c r="G101" s="83" t="s">
        <v>18</v>
      </c>
      <c r="H101" s="178" t="s">
        <v>12</v>
      </c>
      <c r="I101" s="194"/>
      <c r="J101" s="194"/>
      <c r="K101" s="230"/>
      <c r="L101" s="93">
        <v>0</v>
      </c>
      <c r="M101" s="93"/>
      <c r="N101" s="42"/>
      <c r="O101" s="93"/>
      <c r="P101" s="93"/>
    </row>
    <row r="102" spans="1:16" ht="21.75" customHeight="1" x14ac:dyDescent="0.45">
      <c r="A102" s="179"/>
      <c r="B102" s="95"/>
      <c r="C102" s="95"/>
      <c r="D102" s="180"/>
      <c r="E102" s="96"/>
      <c r="F102" s="96"/>
      <c r="G102" s="97" t="s">
        <v>19</v>
      </c>
      <c r="H102" s="181" t="s">
        <v>12</v>
      </c>
      <c r="I102" s="194"/>
      <c r="J102" s="194"/>
      <c r="K102" s="230"/>
      <c r="L102" s="91">
        <f ca="1">IFERROR(__xludf.DUMMYFUNCTION("IMPORTRANGE(""https://docs.google.com/spreadsheets/d/1Yj_ptqi66GCucihVvJfMjLAmec39IyEx_6qawtMGysU/edit?usp=sharing"",""สบก!AP88"")"),92400)</f>
        <v>92400</v>
      </c>
      <c r="M102" s="101">
        <f ca="1">L102</f>
        <v>92400</v>
      </c>
      <c r="N102" s="91">
        <f ca="1">IFERROR(__xludf.DUMMYFUNCTION("IMPORTRANGE(""https://docs.google.com/spreadsheets/d/1Yj_ptqi66GCucihVvJfMjLAmec39IyEx_6qawtMGysU/edit?usp=sharing"",""สบก!AT88"")"),92400)</f>
        <v>92400</v>
      </c>
      <c r="O102" s="101">
        <f ca="1">IF(L102&gt;0,N102*100/L102,0)</f>
        <v>100</v>
      </c>
      <c r="P102" s="101">
        <f ca="1">IF(M102&gt;0,N102*100/M102,0)</f>
        <v>100</v>
      </c>
    </row>
    <row r="103" spans="1:16" ht="21.75" customHeight="1" x14ac:dyDescent="0.35">
      <c r="A103" s="182"/>
      <c r="B103" s="183"/>
      <c r="C103" s="163" t="s">
        <v>16</v>
      </c>
      <c r="D103" s="184" t="s">
        <v>43</v>
      </c>
      <c r="E103" s="185"/>
      <c r="F103" s="185"/>
      <c r="G103" s="186"/>
      <c r="H103" s="187"/>
      <c r="I103" s="166"/>
      <c r="J103" s="194"/>
      <c r="K103" s="230"/>
      <c r="L103" s="175"/>
      <c r="M103" s="175"/>
      <c r="N103" s="175"/>
      <c r="O103" s="188"/>
      <c r="P103" s="188"/>
    </row>
    <row r="104" spans="1:16" ht="21.75" customHeight="1" x14ac:dyDescent="0.35">
      <c r="A104" s="182"/>
      <c r="B104" s="183"/>
      <c r="C104" s="183"/>
      <c r="D104" s="189">
        <v>1</v>
      </c>
      <c r="E104" s="190" t="s">
        <v>44</v>
      </c>
      <c r="F104" s="191"/>
      <c r="G104" s="192"/>
      <c r="H104" s="193"/>
      <c r="I104" s="194"/>
      <c r="J104" s="194">
        <f ca="1">IFERROR(__xludf.DUMMYFUNCTION("IMPORTRANGE(""https://docs.google.com/spreadsheets/d/1IYY_tgx_IHuhSq3AJ5eI5OnqOPBNLWSHKh2a30DoXe8/edit?usp=sharing"",""พัทลุง!J39"")"),0)</f>
        <v>0</v>
      </c>
      <c r="K104" s="230"/>
      <c r="L104" s="175"/>
      <c r="M104" s="175"/>
      <c r="N104" s="175"/>
      <c r="O104" s="188"/>
      <c r="P104" s="188"/>
    </row>
    <row r="105" spans="1:16" ht="21.75" customHeight="1" x14ac:dyDescent="0.35">
      <c r="A105" s="182"/>
      <c r="B105" s="183"/>
      <c r="C105" s="183"/>
      <c r="D105" s="196">
        <v>2</v>
      </c>
      <c r="E105" s="197" t="s">
        <v>45</v>
      </c>
      <c r="F105" s="198"/>
      <c r="G105" s="199"/>
      <c r="H105" s="193"/>
      <c r="I105" s="194"/>
      <c r="J105" s="194">
        <f ca="1">IFERROR(__xludf.DUMMYFUNCTION("IMPORTRANGE(""https://docs.google.com/spreadsheets/d/1IYY_tgx_IHuhSq3AJ5eI5OnqOPBNLWSHKh2a30DoXe8/edit?usp=sharing"",""พัทลุง!J40"")"),1)</f>
        <v>1</v>
      </c>
      <c r="K105" s="230"/>
      <c r="L105" s="175" t="s">
        <v>39</v>
      </c>
      <c r="M105" s="175"/>
      <c r="N105" s="175" t="s">
        <v>39</v>
      </c>
      <c r="O105" s="188"/>
      <c r="P105" s="188"/>
    </row>
    <row r="106" spans="1:16" ht="21.75" customHeight="1" x14ac:dyDescent="0.35">
      <c r="A106" s="182"/>
      <c r="B106" s="183"/>
      <c r="C106" s="183"/>
      <c r="D106" s="200"/>
      <c r="E106" s="201" t="s">
        <v>46</v>
      </c>
      <c r="F106" s="202"/>
      <c r="G106" s="203"/>
      <c r="H106" s="193"/>
      <c r="I106" s="194"/>
      <c r="J106" s="194">
        <f ca="1">IFERROR(__xludf.DUMMYFUNCTION("IMPORTRANGE(""https://docs.google.com/spreadsheets/d/1IYY_tgx_IHuhSq3AJ5eI5OnqOPBNLWSHKh2a30DoXe8/edit?usp=sharing"",""พัทลุง!J41"")"),1)</f>
        <v>1</v>
      </c>
      <c r="K106" s="230"/>
      <c r="L106" s="175"/>
      <c r="M106" s="175"/>
      <c r="N106" s="175"/>
      <c r="O106" s="188"/>
      <c r="P106" s="188"/>
    </row>
    <row r="107" spans="1:16" ht="21.75" customHeight="1" x14ac:dyDescent="0.35">
      <c r="A107" s="182"/>
      <c r="B107" s="183"/>
      <c r="C107" s="183"/>
      <c r="D107" s="200"/>
      <c r="E107" s="201" t="s">
        <v>47</v>
      </c>
      <c r="F107" s="202"/>
      <c r="G107" s="203"/>
      <c r="H107" s="193"/>
      <c r="I107" s="194"/>
      <c r="J107" s="194">
        <f ca="1">IFERROR(__xludf.DUMMYFUNCTION("IMPORTRANGE(""https://docs.google.com/spreadsheets/d/1IYY_tgx_IHuhSq3AJ5eI5OnqOPBNLWSHKh2a30DoXe8/edit?usp=sharing"",""พัทลุง!J42"")"),1)</f>
        <v>1</v>
      </c>
      <c r="K107" s="230"/>
      <c r="L107" s="175"/>
      <c r="M107" s="175"/>
      <c r="N107" s="175"/>
      <c r="O107" s="188"/>
      <c r="P107" s="188"/>
    </row>
    <row r="108" spans="1:16" ht="21.75" customHeight="1" x14ac:dyDescent="0.35">
      <c r="A108" s="182"/>
      <c r="B108" s="183"/>
      <c r="C108" s="183"/>
      <c r="D108" s="200"/>
      <c r="E108" s="202"/>
      <c r="F108" s="202" t="s">
        <v>59</v>
      </c>
      <c r="G108" s="202"/>
      <c r="H108" s="187" t="s">
        <v>60</v>
      </c>
      <c r="I108" s="209">
        <f ca="1">IFERROR(__xludf.DUMMYFUNCTION("IMPORTRANGE(""https://docs.google.com/spreadsheets/d/1IYY_tgx_IHuhSq3AJ5eI5OnqOPBNLWSHKh2a30DoXe8/edit?usp=sharing"",""พัทลุง!I43"")"),1)</f>
        <v>1</v>
      </c>
      <c r="J108" s="210">
        <f ca="1">IFERROR(__xludf.DUMMYFUNCTION("IMPORTRANGE(""https://docs.google.com/spreadsheets/d/1IYY_tgx_IHuhSq3AJ5eI5OnqOPBNLWSHKh2a30DoXe8/edit?usp=sharing"",""พัทลุง!J43"")"),1)</f>
        <v>1</v>
      </c>
      <c r="K108" s="230">
        <f t="shared" ref="K108:K113" ca="1" si="56">IF(I108&gt;0,J108*100/I108,0)</f>
        <v>100</v>
      </c>
      <c r="L108" s="175"/>
      <c r="M108" s="175"/>
      <c r="N108" s="175"/>
      <c r="O108" s="188"/>
      <c r="P108" s="188"/>
    </row>
    <row r="109" spans="1:16" ht="21.75" customHeight="1" x14ac:dyDescent="0.35">
      <c r="A109" s="182"/>
      <c r="B109" s="183"/>
      <c r="C109" s="183"/>
      <c r="D109" s="200"/>
      <c r="E109" s="205"/>
      <c r="F109" s="201" t="s">
        <v>61</v>
      </c>
      <c r="G109" s="202"/>
      <c r="H109" s="187" t="s">
        <v>37</v>
      </c>
      <c r="I109" s="209">
        <f ca="1">IFERROR(__xludf.DUMMYFUNCTION("IMPORTRANGE(""https://docs.google.com/spreadsheets/d/1IYY_tgx_IHuhSq3AJ5eI5OnqOPBNLWSHKh2a30DoXe8/edit?usp=sharing"",""พัทลุง!I44"")"),4)</f>
        <v>4</v>
      </c>
      <c r="J109" s="210">
        <f ca="1">IFERROR(__xludf.DUMMYFUNCTION("IMPORTRANGE(""https://docs.google.com/spreadsheets/d/1IYY_tgx_IHuhSq3AJ5eI5OnqOPBNLWSHKh2a30DoXe8/edit?usp=sharing"",""พัทลุง!J44"")"),4)</f>
        <v>4</v>
      </c>
      <c r="K109" s="230">
        <f t="shared" ca="1" si="56"/>
        <v>100</v>
      </c>
      <c r="L109" s="175"/>
      <c r="M109" s="175"/>
      <c r="N109" s="175"/>
      <c r="O109" s="188"/>
      <c r="P109" s="188"/>
    </row>
    <row r="110" spans="1:16" ht="21.75" customHeight="1" x14ac:dyDescent="0.35">
      <c r="A110" s="182"/>
      <c r="B110" s="183"/>
      <c r="C110" s="183"/>
      <c r="D110" s="200"/>
      <c r="E110" s="205"/>
      <c r="F110" s="202"/>
      <c r="G110" s="231" t="s">
        <v>62</v>
      </c>
      <c r="H110" s="187" t="s">
        <v>37</v>
      </c>
      <c r="I110" s="209">
        <f ca="1">IFERROR(__xludf.DUMMYFUNCTION("IMPORTRANGE(""https://docs.google.com/spreadsheets/d/1IYY_tgx_IHuhSq3AJ5eI5OnqOPBNLWSHKh2a30DoXe8/edit?usp=sharing"",""พัทลุง!I45"")"),4)</f>
        <v>4</v>
      </c>
      <c r="J110" s="210">
        <f ca="1">IFERROR(__xludf.DUMMYFUNCTION("IMPORTRANGE(""https://docs.google.com/spreadsheets/d/1IYY_tgx_IHuhSq3AJ5eI5OnqOPBNLWSHKh2a30DoXe8/edit?usp=sharing"",""พัทลุง!J45"")"),4)</f>
        <v>4</v>
      </c>
      <c r="K110" s="230">
        <f t="shared" ca="1" si="56"/>
        <v>100</v>
      </c>
      <c r="L110" s="175"/>
      <c r="M110" s="175"/>
      <c r="N110" s="175"/>
      <c r="O110" s="188"/>
      <c r="P110" s="188"/>
    </row>
    <row r="111" spans="1:16" ht="21.75" customHeight="1" x14ac:dyDescent="0.35">
      <c r="A111" s="182"/>
      <c r="B111" s="183"/>
      <c r="C111" s="183"/>
      <c r="D111" s="200"/>
      <c r="E111" s="205"/>
      <c r="F111" s="202"/>
      <c r="G111" s="231" t="s">
        <v>63</v>
      </c>
      <c r="H111" s="187" t="s">
        <v>37</v>
      </c>
      <c r="I111" s="209">
        <f ca="1">IFERROR(__xludf.DUMMYFUNCTION("IMPORTRANGE(""https://docs.google.com/spreadsheets/d/1IYY_tgx_IHuhSq3AJ5eI5OnqOPBNLWSHKh2a30DoXe8/edit?usp=sharing"",""พัทลุง!I46"")"),4)</f>
        <v>4</v>
      </c>
      <c r="J111" s="210">
        <f ca="1">IFERROR(__xludf.DUMMYFUNCTION("IMPORTRANGE(""https://docs.google.com/spreadsheets/d/1IYY_tgx_IHuhSq3AJ5eI5OnqOPBNLWSHKh2a30DoXe8/edit?usp=sharing"",""พัทลุง!J46"")"),4)</f>
        <v>4</v>
      </c>
      <c r="K111" s="230">
        <f t="shared" ca="1" si="56"/>
        <v>100</v>
      </c>
      <c r="L111" s="175"/>
      <c r="M111" s="175"/>
      <c r="N111" s="175"/>
      <c r="O111" s="188"/>
      <c r="P111" s="188"/>
    </row>
    <row r="112" spans="1:16" ht="21.75" customHeight="1" x14ac:dyDescent="0.35">
      <c r="A112" s="182"/>
      <c r="B112" s="183"/>
      <c r="C112" s="183"/>
      <c r="D112" s="200"/>
      <c r="E112" s="205"/>
      <c r="F112" s="202"/>
      <c r="G112" s="232" t="s">
        <v>64</v>
      </c>
      <c r="H112" s="187" t="s">
        <v>37</v>
      </c>
      <c r="I112" s="209">
        <f ca="1">IFERROR(__xludf.DUMMYFUNCTION("IMPORTRANGE(""https://docs.google.com/spreadsheets/d/1IYY_tgx_IHuhSq3AJ5eI5OnqOPBNLWSHKh2a30DoXe8/edit?usp=sharing"",""พัทลุง!I47"")"),4)</f>
        <v>4</v>
      </c>
      <c r="J112" s="210">
        <f ca="1">IFERROR(__xludf.DUMMYFUNCTION("IMPORTRANGE(""https://docs.google.com/spreadsheets/d/1IYY_tgx_IHuhSq3AJ5eI5OnqOPBNLWSHKh2a30DoXe8/edit?usp=sharing"",""พัทลุง!J47"")"),4)</f>
        <v>4</v>
      </c>
      <c r="K112" s="230">
        <f t="shared" ca="1" si="56"/>
        <v>100</v>
      </c>
      <c r="L112" s="175"/>
      <c r="M112" s="175"/>
      <c r="N112" s="175"/>
      <c r="O112" s="188"/>
      <c r="P112" s="188"/>
    </row>
    <row r="113" spans="1:16" ht="21.75" customHeight="1" x14ac:dyDescent="0.35">
      <c r="A113" s="182"/>
      <c r="B113" s="183"/>
      <c r="C113" s="183"/>
      <c r="D113" s="200"/>
      <c r="E113" s="205"/>
      <c r="F113" s="202" t="s">
        <v>65</v>
      </c>
      <c r="G113" s="202"/>
      <c r="H113" s="187" t="s">
        <v>58</v>
      </c>
      <c r="I113" s="209">
        <f ca="1">IFERROR(__xludf.DUMMYFUNCTION("IMPORTRANGE(""https://docs.google.com/spreadsheets/d/1IYY_tgx_IHuhSq3AJ5eI5OnqOPBNLWSHKh2a30DoXe8/edit?usp=sharing"",""พัทลุง!I48"")"),1)</f>
        <v>1</v>
      </c>
      <c r="J113" s="210">
        <f ca="1">IFERROR(__xludf.DUMMYFUNCTION("IMPORTRANGE(""https://docs.google.com/spreadsheets/d/1IYY_tgx_IHuhSq3AJ5eI5OnqOPBNLWSHKh2a30DoXe8/edit?usp=sharing"",""พัทลุง!J48"")"),1)</f>
        <v>1</v>
      </c>
      <c r="K113" s="230">
        <f t="shared" ca="1" si="56"/>
        <v>100</v>
      </c>
      <c r="L113" s="175"/>
      <c r="M113" s="175"/>
      <c r="N113" s="175"/>
      <c r="O113" s="188"/>
      <c r="P113" s="188"/>
    </row>
    <row r="114" spans="1:16" ht="21.75" customHeight="1" x14ac:dyDescent="0.35">
      <c r="A114" s="182"/>
      <c r="B114" s="183"/>
      <c r="C114" s="183"/>
      <c r="D114" s="200"/>
      <c r="E114" s="201" t="s">
        <v>53</v>
      </c>
      <c r="F114" s="202"/>
      <c r="G114" s="203"/>
      <c r="H114" s="193"/>
      <c r="I114" s="194"/>
      <c r="J114" s="194">
        <f ca="1">IFERROR(__xludf.DUMMYFUNCTION("IMPORTRANGE(""https://docs.google.com/spreadsheets/d/1IYY_tgx_IHuhSq3AJ5eI5OnqOPBNLWSHKh2a30DoXe8/edit?usp=sharing"",""พัทลุง!J49"")"),0)</f>
        <v>0</v>
      </c>
      <c r="K114" s="230"/>
      <c r="L114" s="175"/>
      <c r="M114" s="175"/>
      <c r="N114" s="175"/>
      <c r="O114" s="188"/>
      <c r="P114" s="188"/>
    </row>
    <row r="115" spans="1:16" ht="21.75" customHeight="1" x14ac:dyDescent="0.35">
      <c r="A115" s="182"/>
      <c r="B115" s="183"/>
      <c r="C115" s="183"/>
      <c r="D115" s="212">
        <v>3</v>
      </c>
      <c r="E115" s="213" t="s">
        <v>54</v>
      </c>
      <c r="F115" s="214"/>
      <c r="G115" s="215"/>
      <c r="H115" s="193"/>
      <c r="I115" s="194"/>
      <c r="J115" s="233">
        <f ca="1">IFERROR(__xludf.DUMMYFUNCTION("IMPORTRANGE(""https://docs.google.com/spreadsheets/d/1IYY_tgx_IHuhSq3AJ5eI5OnqOPBNLWSHKh2a30DoXe8/edit?usp=sharing"",""พัทลุง!J50"")"),0)</f>
        <v>0</v>
      </c>
      <c r="K115" s="230"/>
      <c r="L115" s="175"/>
      <c r="M115" s="175"/>
      <c r="N115" s="175"/>
      <c r="O115" s="188"/>
      <c r="P115" s="188"/>
    </row>
    <row r="116" spans="1:16" ht="21.75" customHeight="1" x14ac:dyDescent="0.35">
      <c r="A116" s="217" t="s">
        <v>66</v>
      </c>
      <c r="B116" s="234"/>
      <c r="C116" s="235"/>
      <c r="D116" s="234"/>
      <c r="E116" s="236"/>
      <c r="F116" s="236"/>
      <c r="G116" s="237"/>
      <c r="H116" s="222"/>
      <c r="I116" s="223"/>
      <c r="J116" s="223"/>
      <c r="K116" s="224"/>
      <c r="L116" s="225"/>
      <c r="M116" s="225"/>
      <c r="N116" s="225"/>
      <c r="O116" s="226"/>
      <c r="P116" s="226"/>
    </row>
    <row r="117" spans="1:16" ht="21.75" customHeight="1" x14ac:dyDescent="0.35">
      <c r="A117" s="142"/>
      <c r="B117" s="143" t="s">
        <v>67</v>
      </c>
      <c r="C117" s="238"/>
      <c r="D117" s="144"/>
      <c r="E117" s="143"/>
      <c r="F117" s="143"/>
      <c r="G117" s="227"/>
      <c r="H117" s="145" t="s">
        <v>37</v>
      </c>
      <c r="I117" s="146">
        <f ca="1">IFERROR(__xludf.DUMMYFUNCTION("IMPORTRANGE(""https://docs.google.com/spreadsheets/d/1IYY_tgx_IHuhSq3AJ5eI5OnqOPBNLWSHKh2a30DoXe8/edit?usp=sharing"",""พัทลุง!I52"")"),0)</f>
        <v>0</v>
      </c>
      <c r="J117" s="146">
        <f ca="1">IFERROR(__xludf.DUMMYFUNCTION("IMPORTRANGE(""https://docs.google.com/spreadsheets/d/1IYY_tgx_IHuhSq3AJ5eI5OnqOPBNLWSHKh2a30DoXe8/edit?usp=sharing"",""พัทลุง!J52"")"),0)</f>
        <v>0</v>
      </c>
      <c r="K117" s="147">
        <f ca="1">IF(I117&gt;0,J117*100/I117,0)</f>
        <v>0</v>
      </c>
      <c r="L117" s="148"/>
      <c r="M117" s="148"/>
      <c r="N117" s="149"/>
      <c r="O117" s="147"/>
      <c r="P117" s="147"/>
    </row>
    <row r="118" spans="1:16" ht="21.75" customHeight="1" x14ac:dyDescent="0.45">
      <c r="A118" s="150"/>
      <c r="B118" s="151"/>
      <c r="C118" s="152" t="s">
        <v>16</v>
      </c>
      <c r="D118" s="530" t="s">
        <v>17</v>
      </c>
      <c r="E118" s="531"/>
      <c r="F118" s="531"/>
      <c r="G118" s="531"/>
      <c r="H118" s="153" t="s">
        <v>12</v>
      </c>
      <c r="I118" s="166"/>
      <c r="J118" s="166"/>
      <c r="K118" s="167"/>
      <c r="L118" s="156">
        <f t="shared" ref="L118:N118" ca="1" si="57">L119+L120</f>
        <v>0</v>
      </c>
      <c r="M118" s="156">
        <f t="shared" ca="1" si="57"/>
        <v>0</v>
      </c>
      <c r="N118" s="156">
        <f t="shared" ca="1" si="57"/>
        <v>0</v>
      </c>
      <c r="O118" s="155">
        <f t="shared" ref="O118:O120" ca="1" si="58">IF(L118&gt;0,N118*100/L118,0)</f>
        <v>0</v>
      </c>
      <c r="P118" s="155">
        <f t="shared" ref="P118:P120" ca="1" si="59">IF(M118&gt;0,N118*100/M118,0)</f>
        <v>0</v>
      </c>
    </row>
    <row r="119" spans="1:16" ht="21.75" customHeight="1" x14ac:dyDescent="0.45">
      <c r="A119" s="157"/>
      <c r="B119" s="32"/>
      <c r="C119" s="32"/>
      <c r="D119" s="32"/>
      <c r="E119" s="32"/>
      <c r="F119" s="32"/>
      <c r="G119" s="33" t="s">
        <v>18</v>
      </c>
      <c r="H119" s="158" t="s">
        <v>12</v>
      </c>
      <c r="I119" s="166"/>
      <c r="J119" s="166"/>
      <c r="K119" s="167"/>
      <c r="L119" s="161">
        <f t="shared" ref="L119:N119" si="60">L121+L125</f>
        <v>0</v>
      </c>
      <c r="M119" s="161">
        <f t="shared" si="60"/>
        <v>0</v>
      </c>
      <c r="N119" s="161">
        <f t="shared" si="60"/>
        <v>0</v>
      </c>
      <c r="O119" s="160">
        <f t="shared" si="58"/>
        <v>0</v>
      </c>
      <c r="P119" s="160">
        <f t="shared" si="59"/>
        <v>0</v>
      </c>
    </row>
    <row r="120" spans="1:16" ht="21.75" customHeight="1" x14ac:dyDescent="0.45">
      <c r="A120" s="157"/>
      <c r="B120" s="32"/>
      <c r="C120" s="32"/>
      <c r="D120" s="32"/>
      <c r="E120" s="32"/>
      <c r="F120" s="32"/>
      <c r="G120" s="33" t="s">
        <v>19</v>
      </c>
      <c r="H120" s="158" t="s">
        <v>12</v>
      </c>
      <c r="I120" s="166"/>
      <c r="J120" s="166"/>
      <c r="K120" s="167"/>
      <c r="L120" s="161">
        <f t="shared" ref="L120:N120" ca="1" si="61">L122+L126</f>
        <v>0</v>
      </c>
      <c r="M120" s="161">
        <f t="shared" ca="1" si="61"/>
        <v>0</v>
      </c>
      <c r="N120" s="161">
        <f t="shared" ca="1" si="61"/>
        <v>0</v>
      </c>
      <c r="O120" s="160">
        <f t="shared" ca="1" si="58"/>
        <v>0</v>
      </c>
      <c r="P120" s="160">
        <f t="shared" ca="1" si="59"/>
        <v>0</v>
      </c>
    </row>
    <row r="121" spans="1:16" ht="21.75" customHeight="1" x14ac:dyDescent="0.45">
      <c r="A121" s="162"/>
      <c r="B121" s="163"/>
      <c r="C121" s="163" t="s">
        <v>16</v>
      </c>
      <c r="D121" s="527" t="s">
        <v>20</v>
      </c>
      <c r="E121" s="528"/>
      <c r="F121" s="528"/>
      <c r="G121" s="164" t="s">
        <v>38</v>
      </c>
      <c r="H121" s="165" t="s">
        <v>12</v>
      </c>
      <c r="I121" s="166" t="s">
        <v>39</v>
      </c>
      <c r="J121" s="166"/>
      <c r="K121" s="167"/>
      <c r="L121" s="168">
        <v>0</v>
      </c>
      <c r="M121" s="168"/>
      <c r="N121" s="168">
        <v>0</v>
      </c>
      <c r="O121" s="169">
        <f>+IF(L121&gt;0,N121*100/L121,0)</f>
        <v>0</v>
      </c>
      <c r="P121" s="169"/>
    </row>
    <row r="122" spans="1:16" ht="21.75" customHeight="1" x14ac:dyDescent="0.35">
      <c r="A122" s="162"/>
      <c r="B122" s="163"/>
      <c r="C122" s="163"/>
      <c r="D122" s="170"/>
      <c r="E122" s="171"/>
      <c r="F122" s="171" t="s">
        <v>39</v>
      </c>
      <c r="G122" s="164" t="s">
        <v>40</v>
      </c>
      <c r="H122" s="165" t="s">
        <v>12</v>
      </c>
      <c r="I122" s="166"/>
      <c r="J122" s="166"/>
      <c r="K122" s="167"/>
      <c r="L122" s="172">
        <f ca="1">L123+L124</f>
        <v>0</v>
      </c>
      <c r="M122" s="173">
        <f ca="1">IFERROR(__xludf.DUMMYFUNCTION("IMPORTRANGE(""https://docs.google.com/spreadsheets/d/1Yj_ptqi66GCucihVvJfMjLAmec39IyEx_6qawtMGysU/edit?usp=sharing"",""สบก!BA88"")"),0)</f>
        <v>0</v>
      </c>
      <c r="N122" s="174">
        <f ca="1">IFERROR(__xludf.DUMMYFUNCTION("IMPORTRANGE(""https://docs.google.com/spreadsheets/d/1Yj_ptqi66GCucihVvJfMjLAmec39IyEx_6qawtMGysU/edit?usp=sharing"",""สบก!BB88"")"),0)</f>
        <v>0</v>
      </c>
      <c r="O122" s="175">
        <f ca="1">IF(L122&gt;0,N122*100/L122,0)</f>
        <v>0</v>
      </c>
      <c r="P122" s="175">
        <f ca="1">IF(M122&gt;0,N122*100/M122,0)</f>
        <v>0</v>
      </c>
    </row>
    <row r="123" spans="1:16" ht="21.75" customHeight="1" x14ac:dyDescent="0.35">
      <c r="A123" s="162"/>
      <c r="B123" s="163"/>
      <c r="C123" s="163"/>
      <c r="D123" s="170"/>
      <c r="E123" s="171"/>
      <c r="F123" s="171"/>
      <c r="G123" s="176" t="s">
        <v>41</v>
      </c>
      <c r="H123" s="165" t="s">
        <v>12</v>
      </c>
      <c r="I123" s="166"/>
      <c r="J123" s="166"/>
      <c r="K123" s="167"/>
      <c r="L123" s="173">
        <f ca="1">IFERROR(__xludf.DUMMYFUNCTION("IMPORTRANGE(""https://docs.google.com/spreadsheets/d/1Yj_ptqi66GCucihVvJfMjLAmec39IyEx_6qawtMGysU/edit?usp=sharing"",""สบก!AW88"")"),0)</f>
        <v>0</v>
      </c>
      <c r="M123" s="172"/>
      <c r="N123" s="172"/>
      <c r="O123" s="175"/>
      <c r="P123" s="175"/>
    </row>
    <row r="124" spans="1:16" ht="21.75" customHeight="1" x14ac:dyDescent="0.35">
      <c r="A124" s="162"/>
      <c r="B124" s="163"/>
      <c r="C124" s="163"/>
      <c r="D124" s="170"/>
      <c r="E124" s="171"/>
      <c r="F124" s="171"/>
      <c r="G124" s="176" t="s">
        <v>42</v>
      </c>
      <c r="H124" s="165" t="s">
        <v>12</v>
      </c>
      <c r="I124" s="166"/>
      <c r="J124" s="194"/>
      <c r="K124" s="230"/>
      <c r="L124" s="173">
        <f ca="1">IFERROR(__xludf.DUMMYFUNCTION("IMPORTRANGE(""https://docs.google.com/spreadsheets/d/1Yj_ptqi66GCucihVvJfMjLAmec39IyEx_6qawtMGysU/edit?usp=sharing"",""สบก!AX88"")"),0)</f>
        <v>0</v>
      </c>
      <c r="M124" s="172"/>
      <c r="N124" s="172"/>
      <c r="O124" s="175"/>
      <c r="P124" s="175"/>
    </row>
    <row r="125" spans="1:16" ht="21.75" customHeight="1" x14ac:dyDescent="0.45">
      <c r="A125" s="177"/>
      <c r="B125" s="81"/>
      <c r="C125" s="82" t="s">
        <v>16</v>
      </c>
      <c r="D125" s="529" t="s">
        <v>23</v>
      </c>
      <c r="E125" s="528"/>
      <c r="F125" s="89"/>
      <c r="G125" s="83" t="s">
        <v>18</v>
      </c>
      <c r="H125" s="178" t="s">
        <v>12</v>
      </c>
      <c r="I125" s="194"/>
      <c r="J125" s="194"/>
      <c r="K125" s="230"/>
      <c r="L125" s="93">
        <v>0</v>
      </c>
      <c r="M125" s="93"/>
      <c r="N125" s="42"/>
      <c r="O125" s="93"/>
      <c r="P125" s="93"/>
    </row>
    <row r="126" spans="1:16" ht="21.75" customHeight="1" x14ac:dyDescent="0.45">
      <c r="A126" s="179"/>
      <c r="B126" s="95"/>
      <c r="C126" s="95"/>
      <c r="D126" s="180"/>
      <c r="E126" s="96"/>
      <c r="F126" s="96"/>
      <c r="G126" s="97" t="s">
        <v>19</v>
      </c>
      <c r="H126" s="181" t="s">
        <v>12</v>
      </c>
      <c r="I126" s="194"/>
      <c r="J126" s="194"/>
      <c r="K126" s="230"/>
      <c r="L126" s="91">
        <f ca="1">IFERROR(__xludf.DUMMYFUNCTION("IMPORTRANGE(""https://docs.google.com/spreadsheets/d/1Yj_ptqi66GCucihVvJfMjLAmec39IyEx_6qawtMGysU/edit?usp=sharing"",""สบก!AY88"")"),0)</f>
        <v>0</v>
      </c>
      <c r="M126" s="101"/>
      <c r="N126" s="91">
        <f ca="1">IFERROR(__xludf.DUMMYFUNCTION("IMPORTRANGE(""https://docs.google.com/spreadsheets/d/1Yj_ptqi66GCucihVvJfMjLAmec39IyEx_6qawtMGysU/edit?usp=sharing"",""สบก!BC88"")"),0)</f>
        <v>0</v>
      </c>
      <c r="O126" s="101">
        <f ca="1">IF(L126&gt;0,N126*100/L126,0)</f>
        <v>0</v>
      </c>
      <c r="P126" s="101"/>
    </row>
    <row r="127" spans="1:16" ht="21.75" customHeight="1" x14ac:dyDescent="0.35">
      <c r="A127" s="182"/>
      <c r="B127" s="183"/>
      <c r="C127" s="163" t="s">
        <v>16</v>
      </c>
      <c r="D127" s="239" t="s">
        <v>254</v>
      </c>
      <c r="E127" s="185"/>
      <c r="F127" s="185"/>
      <c r="G127" s="186"/>
      <c r="H127" s="187"/>
      <c r="I127" s="166"/>
      <c r="J127" s="194"/>
      <c r="K127" s="230"/>
      <c r="L127" s="175"/>
      <c r="M127" s="175"/>
      <c r="N127" s="175"/>
      <c r="O127" s="188"/>
      <c r="P127" s="188"/>
    </row>
    <row r="128" spans="1:16" ht="21.75" customHeight="1" x14ac:dyDescent="0.35">
      <c r="A128" s="182"/>
      <c r="B128" s="183"/>
      <c r="C128" s="183"/>
      <c r="D128" s="189">
        <v>1</v>
      </c>
      <c r="E128" s="190" t="s">
        <v>44</v>
      </c>
      <c r="F128" s="191"/>
      <c r="G128" s="192"/>
      <c r="H128" s="193"/>
      <c r="I128" s="194"/>
      <c r="J128" s="210">
        <f ca="1">IFERROR(__xludf.DUMMYFUNCTION("IMPORTRANGE(""https://docs.google.com/spreadsheets/d/1IYY_tgx_IHuhSq3AJ5eI5OnqOPBNLWSHKh2a30DoXe8/edit?usp=sharing"",""พัทลุง!J58"")"),0)</f>
        <v>0</v>
      </c>
      <c r="K128" s="230"/>
      <c r="L128" s="175"/>
      <c r="M128" s="175"/>
      <c r="N128" s="175"/>
      <c r="O128" s="188"/>
      <c r="P128" s="188"/>
    </row>
    <row r="129" spans="1:16" ht="21.75" customHeight="1" x14ac:dyDescent="0.35">
      <c r="A129" s="182"/>
      <c r="B129" s="183"/>
      <c r="C129" s="183"/>
      <c r="D129" s="196">
        <v>2</v>
      </c>
      <c r="E129" s="197" t="s">
        <v>45</v>
      </c>
      <c r="F129" s="198"/>
      <c r="G129" s="199"/>
      <c r="H129" s="193"/>
      <c r="I129" s="194"/>
      <c r="J129" s="194">
        <f ca="1">IFERROR(__xludf.DUMMYFUNCTION("IMPORTRANGE(""https://docs.google.com/spreadsheets/d/1IYY_tgx_IHuhSq3AJ5eI5OnqOPBNLWSHKh2a30DoXe8/edit?usp=sharing"",""พัทลุง!J59"")"),0)</f>
        <v>0</v>
      </c>
      <c r="K129" s="230"/>
      <c r="L129" s="175" t="s">
        <v>39</v>
      </c>
      <c r="M129" s="175"/>
      <c r="N129" s="175" t="s">
        <v>39</v>
      </c>
      <c r="O129" s="188"/>
      <c r="P129" s="188"/>
    </row>
    <row r="130" spans="1:16" ht="21.75" customHeight="1" x14ac:dyDescent="0.35">
      <c r="A130" s="182"/>
      <c r="B130" s="183"/>
      <c r="C130" s="183"/>
      <c r="D130" s="200"/>
      <c r="E130" s="201" t="s">
        <v>46</v>
      </c>
      <c r="F130" s="202"/>
      <c r="G130" s="203"/>
      <c r="H130" s="193"/>
      <c r="I130" s="194"/>
      <c r="J130" s="194">
        <f ca="1">IFERROR(__xludf.DUMMYFUNCTION("IMPORTRANGE(""https://docs.google.com/spreadsheets/d/1IYY_tgx_IHuhSq3AJ5eI5OnqOPBNLWSHKh2a30DoXe8/edit?usp=sharing"",""พัทลุง!J60"")"),0)</f>
        <v>0</v>
      </c>
      <c r="K130" s="230"/>
      <c r="L130" s="175"/>
      <c r="M130" s="175"/>
      <c r="N130" s="175"/>
      <c r="O130" s="188"/>
      <c r="P130" s="188"/>
    </row>
    <row r="131" spans="1:16" ht="21.75" customHeight="1" x14ac:dyDescent="0.35">
      <c r="A131" s="182"/>
      <c r="B131" s="183"/>
      <c r="C131" s="183"/>
      <c r="D131" s="200"/>
      <c r="E131" s="201" t="s">
        <v>47</v>
      </c>
      <c r="F131" s="202"/>
      <c r="G131" s="203"/>
      <c r="H131" s="193"/>
      <c r="I131" s="194"/>
      <c r="J131" s="194">
        <f ca="1">IFERROR(__xludf.DUMMYFUNCTION("IMPORTRANGE(""https://docs.google.com/spreadsheets/d/1IYY_tgx_IHuhSq3AJ5eI5OnqOPBNLWSHKh2a30DoXe8/edit?usp=sharing"",""พัทลุง!J61"")"),0)</f>
        <v>0</v>
      </c>
      <c r="K131" s="230"/>
      <c r="L131" s="175"/>
      <c r="M131" s="175"/>
      <c r="N131" s="175"/>
      <c r="O131" s="188"/>
      <c r="P131" s="188"/>
    </row>
    <row r="132" spans="1:16" ht="21.75" customHeight="1" x14ac:dyDescent="0.35">
      <c r="A132" s="182"/>
      <c r="B132" s="183"/>
      <c r="C132" s="183"/>
      <c r="D132" s="200"/>
      <c r="E132" s="205"/>
      <c r="F132" s="201" t="s">
        <v>69</v>
      </c>
      <c r="G132" s="203"/>
      <c r="H132" s="187" t="s">
        <v>37</v>
      </c>
      <c r="I132" s="194">
        <f ca="1">IFERROR(__xludf.DUMMYFUNCTION("IMPORTRANGE(""https://docs.google.com/spreadsheets/d/1IYY_tgx_IHuhSq3AJ5eI5OnqOPBNLWSHKh2a30DoXe8/edit?usp=sharing"",""พัทลุง!I62"")"),0)</f>
        <v>0</v>
      </c>
      <c r="J132" s="210">
        <f ca="1">IFERROR(__xludf.DUMMYFUNCTION("IMPORTRANGE(""https://docs.google.com/spreadsheets/d/1IYY_tgx_IHuhSq3AJ5eI5OnqOPBNLWSHKh2a30DoXe8/edit?usp=sharing"",""พัทลุง!J62"")"),0)</f>
        <v>0</v>
      </c>
      <c r="K132" s="230">
        <f t="shared" ref="K132:K133" ca="1" si="62">IF(I132&gt;0,J132*100/I132,0)</f>
        <v>0</v>
      </c>
      <c r="L132" s="175"/>
      <c r="M132" s="175"/>
      <c r="N132" s="175"/>
      <c r="O132" s="188"/>
      <c r="P132" s="188"/>
    </row>
    <row r="133" spans="1:16" ht="21.75" customHeight="1" x14ac:dyDescent="0.35">
      <c r="A133" s="182"/>
      <c r="B133" s="183"/>
      <c r="C133" s="183"/>
      <c r="D133" s="200"/>
      <c r="E133" s="205"/>
      <c r="F133" s="201" t="s">
        <v>70</v>
      </c>
      <c r="G133" s="203"/>
      <c r="H133" s="187" t="s">
        <v>37</v>
      </c>
      <c r="I133" s="194">
        <f ca="1">IFERROR(__xludf.DUMMYFUNCTION("IMPORTRANGE(""https://docs.google.com/spreadsheets/d/1IYY_tgx_IHuhSq3AJ5eI5OnqOPBNLWSHKh2a30DoXe8/edit?usp=sharing"",""พัทลุง!I63"")"),0)</f>
        <v>0</v>
      </c>
      <c r="J133" s="210">
        <f ca="1">IFERROR(__xludf.DUMMYFUNCTION("IMPORTRANGE(""https://docs.google.com/spreadsheets/d/1IYY_tgx_IHuhSq3AJ5eI5OnqOPBNLWSHKh2a30DoXe8/edit?usp=sharing"",""พัทลุง!J63"")"),0)</f>
        <v>0</v>
      </c>
      <c r="K133" s="230">
        <f t="shared" ca="1" si="62"/>
        <v>0</v>
      </c>
      <c r="L133" s="175"/>
      <c r="M133" s="175"/>
      <c r="N133" s="175"/>
      <c r="O133" s="188"/>
      <c r="P133" s="188"/>
    </row>
    <row r="134" spans="1:16" ht="21.75" customHeight="1" x14ac:dyDescent="0.35">
      <c r="A134" s="182"/>
      <c r="B134" s="183"/>
      <c r="C134" s="183"/>
      <c r="D134" s="200"/>
      <c r="E134" s="201" t="s">
        <v>53</v>
      </c>
      <c r="F134" s="202"/>
      <c r="G134" s="203"/>
      <c r="H134" s="193"/>
      <c r="I134" s="194"/>
      <c r="J134" s="194">
        <f ca="1">IFERROR(__xludf.DUMMYFUNCTION("IMPORTRANGE(""https://docs.google.com/spreadsheets/d/1IYY_tgx_IHuhSq3AJ5eI5OnqOPBNLWSHKh2a30DoXe8/edit?usp=sharing"",""พัทลุง!J64"")"),0)</f>
        <v>0</v>
      </c>
      <c r="K134" s="230"/>
      <c r="L134" s="175"/>
      <c r="M134" s="175"/>
      <c r="N134" s="175"/>
      <c r="O134" s="188"/>
      <c r="P134" s="188"/>
    </row>
    <row r="135" spans="1:16" ht="21.75" customHeight="1" x14ac:dyDescent="0.35">
      <c r="A135" s="240"/>
      <c r="B135" s="241"/>
      <c r="C135" s="241"/>
      <c r="D135" s="242">
        <v>3</v>
      </c>
      <c r="E135" s="243" t="s">
        <v>54</v>
      </c>
      <c r="F135" s="244"/>
      <c r="G135" s="245"/>
      <c r="H135" s="246"/>
      <c r="I135" s="247"/>
      <c r="J135" s="248">
        <f ca="1">IFERROR(__xludf.DUMMYFUNCTION("IMPORTRANGE(""https://docs.google.com/spreadsheets/d/1IYY_tgx_IHuhSq3AJ5eI5OnqOPBNLWSHKh2a30DoXe8/edit?usp=sharing"",""พัทลุง!J65"")"),0)</f>
        <v>0</v>
      </c>
      <c r="K135" s="249"/>
      <c r="L135" s="250"/>
      <c r="M135" s="250"/>
      <c r="N135" s="250"/>
      <c r="O135" s="251"/>
      <c r="P135" s="251"/>
    </row>
    <row r="136" spans="1:16" ht="21.75" customHeight="1" x14ac:dyDescent="0.35">
      <c r="A136" s="252" t="s">
        <v>71</v>
      </c>
      <c r="B136" s="253"/>
      <c r="C136" s="253"/>
      <c r="D136" s="253"/>
      <c r="E136" s="254"/>
      <c r="F136" s="254"/>
      <c r="G136" s="255"/>
      <c r="H136" s="256"/>
      <c r="I136" s="257"/>
      <c r="J136" s="257"/>
      <c r="K136" s="258"/>
      <c r="L136" s="259"/>
      <c r="M136" s="259"/>
      <c r="N136" s="259"/>
      <c r="O136" s="259"/>
      <c r="P136" s="259"/>
    </row>
    <row r="137" spans="1:16" ht="21.75" customHeight="1" x14ac:dyDescent="0.35">
      <c r="A137" s="260" t="s">
        <v>72</v>
      </c>
      <c r="B137" s="261"/>
      <c r="C137" s="261"/>
      <c r="D137" s="262"/>
      <c r="E137" s="262"/>
      <c r="F137" s="262"/>
      <c r="G137" s="263"/>
      <c r="H137" s="264"/>
      <c r="I137" s="265"/>
      <c r="J137" s="265"/>
      <c r="K137" s="266"/>
      <c r="L137" s="266"/>
      <c r="M137" s="266"/>
      <c r="N137" s="266"/>
      <c r="O137" s="267"/>
      <c r="P137" s="267"/>
    </row>
    <row r="138" spans="1:16" ht="21.75" customHeight="1" x14ac:dyDescent="0.35">
      <c r="A138" s="268"/>
      <c r="B138" s="269" t="s">
        <v>73</v>
      </c>
      <c r="C138" s="270"/>
      <c r="D138" s="269"/>
      <c r="E138" s="269"/>
      <c r="F138" s="269"/>
      <c r="G138" s="271"/>
      <c r="H138" s="272" t="s">
        <v>37</v>
      </c>
      <c r="I138" s="273">
        <f ca="1">IFERROR(__xludf.DUMMYFUNCTION("IMPORTRANGE(""https://docs.google.com/spreadsheets/d/1IYY_tgx_IHuhSq3AJ5eI5OnqOPBNLWSHKh2a30DoXe8/edit?usp=sharing"",""พัทลุง!I68"")"),0)</f>
        <v>0</v>
      </c>
      <c r="J138" s="273">
        <f ca="1">IFERROR(__xludf.DUMMYFUNCTION("IMPORTRANGE(""https://docs.google.com/spreadsheets/d/1IYY_tgx_IHuhSq3AJ5eI5OnqOPBNLWSHKh2a30DoXe8/edit?usp=sharing"",""พัทลุง!J68"")"),0)</f>
        <v>0</v>
      </c>
      <c r="K138" s="274">
        <f ca="1">IF(I138&gt;0,J138*100/I138,0)</f>
        <v>0</v>
      </c>
      <c r="L138" s="275"/>
      <c r="M138" s="275"/>
      <c r="N138" s="275"/>
      <c r="O138" s="274"/>
      <c r="P138" s="274"/>
    </row>
    <row r="139" spans="1:16" ht="21.75" customHeight="1" x14ac:dyDescent="0.35">
      <c r="A139" s="268"/>
      <c r="B139" s="269" t="s">
        <v>74</v>
      </c>
      <c r="C139" s="270"/>
      <c r="D139" s="269"/>
      <c r="E139" s="269"/>
      <c r="F139" s="269"/>
      <c r="G139" s="271"/>
      <c r="H139" s="272"/>
      <c r="I139" s="273"/>
      <c r="J139" s="273"/>
      <c r="K139" s="274"/>
      <c r="L139" s="275"/>
      <c r="M139" s="275"/>
      <c r="N139" s="275"/>
      <c r="O139" s="274"/>
      <c r="P139" s="274"/>
    </row>
    <row r="140" spans="1:16" ht="21.75" customHeight="1" x14ac:dyDescent="0.45">
      <c r="A140" s="150"/>
      <c r="B140" s="151"/>
      <c r="C140" s="152" t="s">
        <v>16</v>
      </c>
      <c r="D140" s="530" t="s">
        <v>17</v>
      </c>
      <c r="E140" s="531"/>
      <c r="F140" s="531"/>
      <c r="G140" s="531"/>
      <c r="H140" s="153" t="s">
        <v>12</v>
      </c>
      <c r="I140" s="166"/>
      <c r="J140" s="166"/>
      <c r="K140" s="167"/>
      <c r="L140" s="156">
        <f t="shared" ref="L140:N140" ca="1" si="63">L141+L142</f>
        <v>43000</v>
      </c>
      <c r="M140" s="156">
        <f t="shared" ca="1" si="63"/>
        <v>41625</v>
      </c>
      <c r="N140" s="156">
        <f t="shared" ca="1" si="63"/>
        <v>33715</v>
      </c>
      <c r="O140" s="155">
        <f t="shared" ref="O140:O142" ca="1" si="64">IF(L140&gt;0,N140*100/L140,0)</f>
        <v>78.406976744186053</v>
      </c>
      <c r="P140" s="155">
        <f t="shared" ref="P140:P142" ca="1" si="65">IF(M140&gt;0,N140*100/M140,0)</f>
        <v>80.996996996996998</v>
      </c>
    </row>
    <row r="141" spans="1:16" ht="21.75" customHeight="1" x14ac:dyDescent="0.45">
      <c r="A141" s="157"/>
      <c r="B141" s="32"/>
      <c r="C141" s="32"/>
      <c r="D141" s="32"/>
      <c r="E141" s="32"/>
      <c r="F141" s="32"/>
      <c r="G141" s="33" t="s">
        <v>18</v>
      </c>
      <c r="H141" s="158" t="s">
        <v>12</v>
      </c>
      <c r="I141" s="166"/>
      <c r="J141" s="166"/>
      <c r="K141" s="167"/>
      <c r="L141" s="161">
        <f t="shared" ref="L141:N141" si="66">L143+L147</f>
        <v>0</v>
      </c>
      <c r="M141" s="161">
        <f t="shared" si="66"/>
        <v>0</v>
      </c>
      <c r="N141" s="161">
        <f t="shared" si="66"/>
        <v>0</v>
      </c>
      <c r="O141" s="160">
        <f t="shared" si="64"/>
        <v>0</v>
      </c>
      <c r="P141" s="160">
        <f t="shared" si="65"/>
        <v>0</v>
      </c>
    </row>
    <row r="142" spans="1:16" ht="21.75" customHeight="1" x14ac:dyDescent="0.45">
      <c r="A142" s="157"/>
      <c r="B142" s="32"/>
      <c r="C142" s="32"/>
      <c r="D142" s="32"/>
      <c r="E142" s="32"/>
      <c r="F142" s="32"/>
      <c r="G142" s="33" t="s">
        <v>19</v>
      </c>
      <c r="H142" s="158" t="s">
        <v>12</v>
      </c>
      <c r="I142" s="166"/>
      <c r="J142" s="166"/>
      <c r="K142" s="167"/>
      <c r="L142" s="161">
        <f t="shared" ref="L142:N142" ca="1" si="67">L144+L148</f>
        <v>43000</v>
      </c>
      <c r="M142" s="161">
        <f t="shared" ca="1" si="67"/>
        <v>41625</v>
      </c>
      <c r="N142" s="161">
        <f t="shared" ca="1" si="67"/>
        <v>33715</v>
      </c>
      <c r="O142" s="160">
        <f t="shared" ca="1" si="64"/>
        <v>78.406976744186053</v>
      </c>
      <c r="P142" s="160">
        <f t="shared" ca="1" si="65"/>
        <v>80.996996996996998</v>
      </c>
    </row>
    <row r="143" spans="1:16" ht="21.75" customHeight="1" x14ac:dyDescent="0.45">
      <c r="A143" s="162"/>
      <c r="B143" s="163"/>
      <c r="C143" s="163" t="s">
        <v>16</v>
      </c>
      <c r="D143" s="527" t="s">
        <v>20</v>
      </c>
      <c r="E143" s="528"/>
      <c r="F143" s="528"/>
      <c r="G143" s="164" t="s">
        <v>38</v>
      </c>
      <c r="H143" s="165" t="s">
        <v>12</v>
      </c>
      <c r="I143" s="166" t="s">
        <v>39</v>
      </c>
      <c r="J143" s="166"/>
      <c r="K143" s="167"/>
      <c r="L143" s="168">
        <v>0</v>
      </c>
      <c r="M143" s="168"/>
      <c r="N143" s="168">
        <v>0</v>
      </c>
      <c r="O143" s="169">
        <f>+IF(L143&gt;0,N143*100/L143,0)</f>
        <v>0</v>
      </c>
      <c r="P143" s="169"/>
    </row>
    <row r="144" spans="1:16" ht="21.75" customHeight="1" x14ac:dyDescent="0.35">
      <c r="A144" s="162"/>
      <c r="B144" s="163"/>
      <c r="C144" s="163"/>
      <c r="D144" s="170"/>
      <c r="E144" s="171"/>
      <c r="F144" s="171" t="s">
        <v>39</v>
      </c>
      <c r="G144" s="164" t="s">
        <v>40</v>
      </c>
      <c r="H144" s="165" t="s">
        <v>12</v>
      </c>
      <c r="I144" s="166"/>
      <c r="J144" s="166"/>
      <c r="K144" s="167"/>
      <c r="L144" s="172">
        <f ca="1">L145+L146</f>
        <v>43000</v>
      </c>
      <c r="M144" s="173">
        <f ca="1">IFERROR(__xludf.DUMMYFUNCTION("IMPORTRANGE(""https://docs.google.com/spreadsheets/d/1Yj_ptqi66GCucihVvJfMjLAmec39IyEx_6qawtMGysU/edit?usp=sharing"",""สบก!BJ88"")"),41625)</f>
        <v>41625</v>
      </c>
      <c r="N144" s="174">
        <f ca="1">IFERROR(__xludf.DUMMYFUNCTION("IMPORTRANGE(""https://docs.google.com/spreadsheets/d/1Yj_ptqi66GCucihVvJfMjLAmec39IyEx_6qawtMGysU/edit?usp=sharing"",""สบก!BK88"")"),33715)</f>
        <v>33715</v>
      </c>
      <c r="O144" s="175">
        <f ca="1">IF(L144&gt;0,N144*100/L144,0)</f>
        <v>78.406976744186053</v>
      </c>
      <c r="P144" s="175">
        <f ca="1">IF(M144&gt;0,N144*100/M144,0)</f>
        <v>80.996996996996998</v>
      </c>
    </row>
    <row r="145" spans="1:16" ht="21.75" customHeight="1" x14ac:dyDescent="0.35">
      <c r="A145" s="162"/>
      <c r="B145" s="163"/>
      <c r="C145" s="163"/>
      <c r="D145" s="170"/>
      <c r="E145" s="171"/>
      <c r="F145" s="171"/>
      <c r="G145" s="176" t="s">
        <v>41</v>
      </c>
      <c r="H145" s="165" t="s">
        <v>12</v>
      </c>
      <c r="I145" s="166"/>
      <c r="J145" s="166"/>
      <c r="K145" s="167"/>
      <c r="L145" s="173">
        <f ca="1">IFERROR(__xludf.DUMMYFUNCTION("IMPORTRANGE(""https://docs.google.com/spreadsheets/d/1Yj_ptqi66GCucihVvJfMjLAmec39IyEx_6qawtMGysU/edit?usp=sharing"",""สบก!BF88"")"),0)</f>
        <v>0</v>
      </c>
      <c r="M145" s="172"/>
      <c r="N145" s="172"/>
      <c r="O145" s="175"/>
      <c r="P145" s="175"/>
    </row>
    <row r="146" spans="1:16" ht="21.75" customHeight="1" x14ac:dyDescent="0.35">
      <c r="A146" s="162"/>
      <c r="B146" s="163"/>
      <c r="C146" s="163"/>
      <c r="D146" s="170"/>
      <c r="E146" s="171"/>
      <c r="F146" s="171"/>
      <c r="G146" s="176" t="s">
        <v>42</v>
      </c>
      <c r="H146" s="165" t="s">
        <v>12</v>
      </c>
      <c r="I146" s="166"/>
      <c r="J146" s="166"/>
      <c r="K146" s="167"/>
      <c r="L146" s="173">
        <f ca="1">IFERROR(__xludf.DUMMYFUNCTION("IMPORTRANGE(""https://docs.google.com/spreadsheets/d/1Yj_ptqi66GCucihVvJfMjLAmec39IyEx_6qawtMGysU/edit?usp=sharing"",""สบก!BG88"")"),43000)</f>
        <v>43000</v>
      </c>
      <c r="M146" s="172"/>
      <c r="N146" s="172"/>
      <c r="O146" s="175"/>
      <c r="P146" s="175"/>
    </row>
    <row r="147" spans="1:16" ht="21.75" customHeight="1" x14ac:dyDescent="0.45">
      <c r="A147" s="177"/>
      <c r="B147" s="81"/>
      <c r="C147" s="82" t="s">
        <v>16</v>
      </c>
      <c r="D147" s="529" t="s">
        <v>23</v>
      </c>
      <c r="E147" s="528"/>
      <c r="F147" s="89"/>
      <c r="G147" s="83" t="s">
        <v>18</v>
      </c>
      <c r="H147" s="178" t="s">
        <v>12</v>
      </c>
      <c r="I147" s="194"/>
      <c r="J147" s="194"/>
      <c r="K147" s="230"/>
      <c r="L147" s="93">
        <v>0</v>
      </c>
      <c r="M147" s="93"/>
      <c r="N147" s="42"/>
      <c r="O147" s="93"/>
      <c r="P147" s="93"/>
    </row>
    <row r="148" spans="1:16" ht="21.75" customHeight="1" x14ac:dyDescent="0.45">
      <c r="A148" s="179"/>
      <c r="B148" s="95"/>
      <c r="C148" s="95"/>
      <c r="D148" s="180"/>
      <c r="E148" s="96"/>
      <c r="F148" s="96"/>
      <c r="G148" s="97" t="s">
        <v>19</v>
      </c>
      <c r="H148" s="181" t="s">
        <v>12</v>
      </c>
      <c r="I148" s="194"/>
      <c r="J148" s="194"/>
      <c r="K148" s="230"/>
      <c r="L148" s="91">
        <f ca="1">IFERROR(__xludf.DUMMYFUNCTION("IMPORTRANGE(""https://docs.google.com/spreadsheets/d/1Yj_ptqi66GCucihVvJfMjLAmec39IyEx_6qawtMGysU/edit?usp=sharing"",""สบก!BH88"")"),0)</f>
        <v>0</v>
      </c>
      <c r="M148" s="101"/>
      <c r="N148" s="91">
        <f ca="1">IFERROR(__xludf.DUMMYFUNCTION("IMPORTRANGE(""https://docs.google.com/spreadsheets/d/1Yj_ptqi66GCucihVvJfMjLAmec39IyEx_6qawtMGysU/edit?usp=sharing"",""สบก!BL88"")"),0)</f>
        <v>0</v>
      </c>
      <c r="O148" s="101">
        <f ca="1">IF(L148&gt;0,N148*100/L148,0)</f>
        <v>0</v>
      </c>
      <c r="P148" s="101"/>
    </row>
    <row r="149" spans="1:16" ht="21.75" customHeight="1" x14ac:dyDescent="0.35">
      <c r="A149" s="276"/>
      <c r="B149" s="277"/>
      <c r="C149" s="278" t="s">
        <v>75</v>
      </c>
      <c r="D149" s="278"/>
      <c r="E149" s="278"/>
      <c r="F149" s="278"/>
      <c r="G149" s="279"/>
      <c r="H149" s="280" t="s">
        <v>76</v>
      </c>
      <c r="I149" s="281">
        <f ca="1">IFERROR(__xludf.DUMMYFUNCTION("IMPORTRANGE(""https://docs.google.com/spreadsheets/d/1IYY_tgx_IHuhSq3AJ5eI5OnqOPBNLWSHKh2a30DoXe8/edit?usp=sharing"",""พัทลุง!I74"")"),4)</f>
        <v>4</v>
      </c>
      <c r="J149" s="281">
        <f ca="1">IFERROR(__xludf.DUMMYFUNCTION("IMPORTRANGE(""https://docs.google.com/spreadsheets/d/1IYY_tgx_IHuhSq3AJ5eI5OnqOPBNLWSHKh2a30DoXe8/edit?usp=sharing"",""พัทลุง!J74"")"),2)</f>
        <v>2</v>
      </c>
      <c r="K149" s="282">
        <f ca="1">IF(I149&gt;0,J149*100/I149,0)</f>
        <v>50</v>
      </c>
      <c r="L149" s="283"/>
      <c r="M149" s="283"/>
      <c r="N149" s="283"/>
      <c r="O149" s="283"/>
      <c r="P149" s="283"/>
    </row>
    <row r="150" spans="1:16" ht="21.75" customHeight="1" x14ac:dyDescent="0.35">
      <c r="A150" s="162"/>
      <c r="B150" s="163"/>
      <c r="C150" s="163" t="s">
        <v>16</v>
      </c>
      <c r="D150" s="284" t="s">
        <v>77</v>
      </c>
      <c r="E150" s="171"/>
      <c r="F150" s="171"/>
      <c r="G150" s="164" t="s">
        <v>38</v>
      </c>
      <c r="H150" s="165" t="s">
        <v>12</v>
      </c>
      <c r="I150" s="166" t="s">
        <v>39</v>
      </c>
      <c r="J150" s="166"/>
      <c r="K150" s="167"/>
      <c r="L150" s="168"/>
      <c r="M150" s="168"/>
      <c r="N150" s="169"/>
      <c r="O150" s="169"/>
      <c r="P150" s="169"/>
    </row>
    <row r="151" spans="1:16" ht="21.75" customHeight="1" x14ac:dyDescent="0.35">
      <c r="A151" s="162"/>
      <c r="B151" s="163"/>
      <c r="C151" s="163"/>
      <c r="D151" s="170"/>
      <c r="E151" s="171"/>
      <c r="F151" s="171" t="s">
        <v>39</v>
      </c>
      <c r="G151" s="164" t="s">
        <v>40</v>
      </c>
      <c r="H151" s="165" t="s">
        <v>12</v>
      </c>
      <c r="I151" s="166"/>
      <c r="J151" s="166"/>
      <c r="K151" s="167"/>
      <c r="L151" s="169"/>
      <c r="M151" s="169"/>
      <c r="N151" s="169"/>
      <c r="O151" s="169"/>
      <c r="P151" s="169"/>
    </row>
    <row r="152" spans="1:16" ht="21.75" customHeight="1" x14ac:dyDescent="0.35">
      <c r="A152" s="162"/>
      <c r="B152" s="163"/>
      <c r="C152" s="163"/>
      <c r="D152" s="170"/>
      <c r="E152" s="171"/>
      <c r="F152" s="171"/>
      <c r="G152" s="176" t="s">
        <v>42</v>
      </c>
      <c r="H152" s="165" t="s">
        <v>12</v>
      </c>
      <c r="I152" s="166"/>
      <c r="J152" s="166"/>
      <c r="K152" s="167"/>
      <c r="L152" s="175"/>
      <c r="M152" s="175"/>
      <c r="N152" s="172"/>
      <c r="O152" s="175"/>
      <c r="P152" s="175"/>
    </row>
    <row r="153" spans="1:16" ht="21.75" customHeight="1" x14ac:dyDescent="0.35">
      <c r="A153" s="182"/>
      <c r="B153" s="183"/>
      <c r="C153" s="163" t="s">
        <v>16</v>
      </c>
      <c r="D153" s="184" t="s">
        <v>43</v>
      </c>
      <c r="E153" s="185"/>
      <c r="F153" s="185"/>
      <c r="G153" s="186"/>
      <c r="H153" s="187"/>
      <c r="I153" s="166"/>
      <c r="J153" s="166"/>
      <c r="K153" s="167"/>
      <c r="L153" s="188"/>
      <c r="M153" s="188"/>
      <c r="N153" s="188"/>
      <c r="O153" s="188"/>
      <c r="P153" s="188"/>
    </row>
    <row r="154" spans="1:16" ht="21.75" customHeight="1" x14ac:dyDescent="0.35">
      <c r="A154" s="182"/>
      <c r="B154" s="183"/>
      <c r="C154" s="183"/>
      <c r="D154" s="189">
        <v>1</v>
      </c>
      <c r="E154" s="190" t="s">
        <v>44</v>
      </c>
      <c r="F154" s="191"/>
      <c r="G154" s="192"/>
      <c r="H154" s="193"/>
      <c r="I154" s="194"/>
      <c r="J154" s="195">
        <f ca="1">IFERROR(__xludf.DUMMYFUNCTION("IMPORTRANGE(""https://docs.google.com/spreadsheets/d/1IYY_tgx_IHuhSq3AJ5eI5OnqOPBNLWSHKh2a30DoXe8/edit?usp=sharing"",""พัทลุง!J79"")"),0)</f>
        <v>0</v>
      </c>
      <c r="K154" s="167"/>
      <c r="L154" s="188"/>
      <c r="M154" s="188"/>
      <c r="N154" s="188"/>
      <c r="O154" s="188"/>
      <c r="P154" s="188"/>
    </row>
    <row r="155" spans="1:16" ht="21.75" customHeight="1" x14ac:dyDescent="0.35">
      <c r="A155" s="182"/>
      <c r="B155" s="183"/>
      <c r="C155" s="183"/>
      <c r="D155" s="196">
        <v>2</v>
      </c>
      <c r="E155" s="197" t="s">
        <v>45</v>
      </c>
      <c r="F155" s="198"/>
      <c r="G155" s="199"/>
      <c r="H155" s="193"/>
      <c r="I155" s="194"/>
      <c r="J155" s="204">
        <f ca="1">IFERROR(__xludf.DUMMYFUNCTION("IMPORTRANGE(""https://docs.google.com/spreadsheets/d/1IYY_tgx_IHuhSq3AJ5eI5OnqOPBNLWSHKh2a30DoXe8/edit?usp=sharing"",""พัทลุง!J80"")"),1)</f>
        <v>1</v>
      </c>
      <c r="K155" s="167"/>
      <c r="L155" s="188"/>
      <c r="M155" s="188"/>
      <c r="N155" s="188"/>
      <c r="O155" s="188"/>
      <c r="P155" s="188"/>
    </row>
    <row r="156" spans="1:16" ht="21.75" customHeight="1" x14ac:dyDescent="0.35">
      <c r="A156" s="182"/>
      <c r="B156" s="183"/>
      <c r="C156" s="183"/>
      <c r="D156" s="200"/>
      <c r="E156" s="201" t="s">
        <v>46</v>
      </c>
      <c r="F156" s="202"/>
      <c r="G156" s="203"/>
      <c r="H156" s="193"/>
      <c r="I156" s="194"/>
      <c r="J156" s="204">
        <f ca="1">IFERROR(__xludf.DUMMYFUNCTION("IMPORTRANGE(""https://docs.google.com/spreadsheets/d/1IYY_tgx_IHuhSq3AJ5eI5OnqOPBNLWSHKh2a30DoXe8/edit?usp=sharing"",""พัทลุง!J81"")"),1)</f>
        <v>1</v>
      </c>
      <c r="K156" s="167"/>
      <c r="L156" s="188"/>
      <c r="M156" s="188"/>
      <c r="N156" s="188"/>
      <c r="O156" s="188"/>
      <c r="P156" s="188"/>
    </row>
    <row r="157" spans="1:16" ht="21.75" customHeight="1" x14ac:dyDescent="0.35">
      <c r="A157" s="182"/>
      <c r="B157" s="183"/>
      <c r="C157" s="183"/>
      <c r="D157" s="200"/>
      <c r="E157" s="201" t="s">
        <v>47</v>
      </c>
      <c r="F157" s="202"/>
      <c r="G157" s="203"/>
      <c r="H157" s="193"/>
      <c r="I157" s="194"/>
      <c r="J157" s="204">
        <f ca="1">IFERROR(__xludf.DUMMYFUNCTION("IMPORTRANGE(""https://docs.google.com/spreadsheets/d/1IYY_tgx_IHuhSq3AJ5eI5OnqOPBNLWSHKh2a30DoXe8/edit?usp=sharing"",""พัทลุง!J82"")"),1)</f>
        <v>1</v>
      </c>
      <c r="K157" s="167"/>
      <c r="L157" s="188"/>
      <c r="M157" s="188"/>
      <c r="N157" s="188"/>
      <c r="O157" s="188"/>
      <c r="P157" s="188"/>
    </row>
    <row r="158" spans="1:16" ht="21.75" customHeight="1" x14ac:dyDescent="0.35">
      <c r="A158" s="182"/>
      <c r="B158" s="183"/>
      <c r="C158" s="183"/>
      <c r="D158" s="200"/>
      <c r="E158" s="205"/>
      <c r="F158" s="201" t="s">
        <v>78</v>
      </c>
      <c r="G158" s="203"/>
      <c r="H158" s="187" t="s">
        <v>76</v>
      </c>
      <c r="I158" s="194">
        <f ca="1">IFERROR(__xludf.DUMMYFUNCTION("IMPORTRANGE(""https://docs.google.com/spreadsheets/d/1IYY_tgx_IHuhSq3AJ5eI5OnqOPBNLWSHKh2a30DoXe8/edit?usp=sharing"",""พัทลุง!I83"")"),4)</f>
        <v>4</v>
      </c>
      <c r="J158" s="195">
        <f ca="1">IFERROR(__xludf.DUMMYFUNCTION("IMPORTRANGE(""https://docs.google.com/spreadsheets/d/1IYY_tgx_IHuhSq3AJ5eI5OnqOPBNLWSHKh2a30DoXe8/edit?usp=sharing"",""พัทลุง!J83"")"),2)</f>
        <v>2</v>
      </c>
      <c r="K158" s="167">
        <f ca="1">IF(I158&gt;0,J158*100/I158,0)</f>
        <v>50</v>
      </c>
      <c r="L158" s="188"/>
      <c r="M158" s="188"/>
      <c r="N158" s="188"/>
      <c r="O158" s="188"/>
      <c r="P158" s="188"/>
    </row>
    <row r="159" spans="1:16" ht="21.75" customHeight="1" x14ac:dyDescent="0.35">
      <c r="A159" s="182"/>
      <c r="B159" s="183"/>
      <c r="C159" s="183"/>
      <c r="D159" s="200"/>
      <c r="E159" s="202"/>
      <c r="F159" s="285" t="s">
        <v>79</v>
      </c>
      <c r="G159" s="203"/>
      <c r="H159" s="286" t="s">
        <v>37</v>
      </c>
      <c r="I159" s="194"/>
      <c r="J159" s="210">
        <f ca="1">IFERROR(__xludf.DUMMYFUNCTION("IMPORTRANGE(""https://docs.google.com/spreadsheets/d/1IYY_tgx_IHuhSq3AJ5eI5OnqOPBNLWSHKh2a30DoXe8/edit?usp=sharing"",""พัทลุง!J84"")"),29)</f>
        <v>29</v>
      </c>
      <c r="K159" s="167"/>
      <c r="L159" s="188"/>
      <c r="M159" s="188"/>
      <c r="N159" s="188"/>
      <c r="O159" s="188"/>
      <c r="P159" s="188"/>
    </row>
    <row r="160" spans="1:16" ht="21.75" customHeight="1" x14ac:dyDescent="0.45">
      <c r="A160" s="182"/>
      <c r="B160" s="183"/>
      <c r="C160" s="183"/>
      <c r="D160" s="200"/>
      <c r="E160" s="202"/>
      <c r="F160" s="202"/>
      <c r="G160" s="287" t="s">
        <v>80</v>
      </c>
      <c r="H160" s="286" t="s">
        <v>37</v>
      </c>
      <c r="I160" s="194"/>
      <c r="J160" s="288">
        <f ca="1">IFERROR(__xludf.DUMMYFUNCTION("IMPORTRANGE(""https://docs.google.com/spreadsheets/d/1IYY_tgx_IHuhSq3AJ5eI5OnqOPBNLWSHKh2a30DoXe8/edit?usp=sharing"",""พัทลุง!J85"")"),29)</f>
        <v>29</v>
      </c>
      <c r="K160" s="167"/>
      <c r="L160" s="188"/>
      <c r="M160" s="188"/>
      <c r="N160" s="188"/>
      <c r="O160" s="188"/>
      <c r="P160" s="188"/>
    </row>
    <row r="161" spans="1:16" ht="21.75" customHeight="1" x14ac:dyDescent="0.45">
      <c r="A161" s="182"/>
      <c r="B161" s="183"/>
      <c r="C161" s="183"/>
      <c r="D161" s="200"/>
      <c r="E161" s="202"/>
      <c r="F161" s="202"/>
      <c r="G161" s="287" t="s">
        <v>81</v>
      </c>
      <c r="H161" s="286" t="s">
        <v>37</v>
      </c>
      <c r="I161" s="194"/>
      <c r="J161" s="288">
        <f ca="1">IFERROR(__xludf.DUMMYFUNCTION("IMPORTRANGE(""https://docs.google.com/spreadsheets/d/1IYY_tgx_IHuhSq3AJ5eI5OnqOPBNLWSHKh2a30DoXe8/edit?usp=sharing"",""พัทลุง!J86"")"),0)</f>
        <v>0</v>
      </c>
      <c r="K161" s="167"/>
      <c r="L161" s="188"/>
      <c r="M161" s="188"/>
      <c r="N161" s="188"/>
      <c r="O161" s="188"/>
      <c r="P161" s="188"/>
    </row>
    <row r="162" spans="1:16" ht="21.75" customHeight="1" x14ac:dyDescent="0.35">
      <c r="A162" s="182"/>
      <c r="B162" s="183"/>
      <c r="C162" s="183"/>
      <c r="D162" s="200"/>
      <c r="E162" s="201" t="s">
        <v>53</v>
      </c>
      <c r="F162" s="202"/>
      <c r="G162" s="203"/>
      <c r="H162" s="193"/>
      <c r="I162" s="194"/>
      <c r="J162" s="204">
        <f ca="1">IFERROR(__xludf.DUMMYFUNCTION("IMPORTRANGE(""https://docs.google.com/spreadsheets/d/1IYY_tgx_IHuhSq3AJ5eI5OnqOPBNLWSHKh2a30DoXe8/edit?usp=sharing"",""พัทลุง!J87"")"),0)</f>
        <v>0</v>
      </c>
      <c r="K162" s="167"/>
      <c r="L162" s="188"/>
      <c r="M162" s="188"/>
      <c r="N162" s="188"/>
      <c r="O162" s="188"/>
      <c r="P162" s="188"/>
    </row>
    <row r="163" spans="1:16" ht="21.75" customHeight="1" x14ac:dyDescent="0.35">
      <c r="A163" s="182"/>
      <c r="B163" s="183"/>
      <c r="C163" s="183"/>
      <c r="D163" s="212">
        <v>3</v>
      </c>
      <c r="E163" s="213" t="s">
        <v>54</v>
      </c>
      <c r="F163" s="214"/>
      <c r="G163" s="215"/>
      <c r="H163" s="193"/>
      <c r="I163" s="194"/>
      <c r="J163" s="216">
        <f ca="1">IFERROR(__xludf.DUMMYFUNCTION("IMPORTRANGE(""https://docs.google.com/spreadsheets/d/1IYY_tgx_IHuhSq3AJ5eI5OnqOPBNLWSHKh2a30DoXe8/edit?usp=sharing"",""พัทลุง!J88"")"),0)</f>
        <v>0</v>
      </c>
      <c r="K163" s="167"/>
      <c r="L163" s="188"/>
      <c r="M163" s="188"/>
      <c r="N163" s="188"/>
      <c r="O163" s="188"/>
      <c r="P163" s="188"/>
    </row>
    <row r="164" spans="1:16" ht="21.75" customHeight="1" x14ac:dyDescent="0.35">
      <c r="A164" s="276"/>
      <c r="B164" s="277"/>
      <c r="C164" s="278" t="s">
        <v>82</v>
      </c>
      <c r="D164" s="278"/>
      <c r="E164" s="278"/>
      <c r="F164" s="278"/>
      <c r="G164" s="279"/>
      <c r="H164" s="289" t="s">
        <v>83</v>
      </c>
      <c r="I164" s="290">
        <f ca="1">IFERROR(__xludf.DUMMYFUNCTION("IMPORTRANGE(""https://docs.google.com/spreadsheets/d/1IYY_tgx_IHuhSq3AJ5eI5OnqOPBNLWSHKh2a30DoXe8/edit?usp=sharing"",""พัทลุง!I89"")"),2)</f>
        <v>2</v>
      </c>
      <c r="J164" s="290">
        <f ca="1">IFERROR(__xludf.DUMMYFUNCTION("IMPORTRANGE(""https://docs.google.com/spreadsheets/d/1IYY_tgx_IHuhSq3AJ5eI5OnqOPBNLWSHKh2a30DoXe8/edit?usp=sharing"",""พัทลุง!J89"")"),2)</f>
        <v>2</v>
      </c>
      <c r="K164" s="291">
        <f ca="1">IF(I164&gt;0,J164*100/I164,0)</f>
        <v>100</v>
      </c>
      <c r="L164" s="283"/>
      <c r="M164" s="283"/>
      <c r="N164" s="283"/>
      <c r="O164" s="283"/>
      <c r="P164" s="283"/>
    </row>
    <row r="165" spans="1:16" ht="21.75" customHeight="1" x14ac:dyDescent="0.35">
      <c r="A165" s="162"/>
      <c r="B165" s="163"/>
      <c r="C165" s="163" t="s">
        <v>16</v>
      </c>
      <c r="D165" s="284" t="s">
        <v>77</v>
      </c>
      <c r="E165" s="171"/>
      <c r="F165" s="171"/>
      <c r="G165" s="164" t="s">
        <v>38</v>
      </c>
      <c r="H165" s="165" t="s">
        <v>12</v>
      </c>
      <c r="I165" s="166" t="s">
        <v>39</v>
      </c>
      <c r="J165" s="166"/>
      <c r="K165" s="167"/>
      <c r="L165" s="168"/>
      <c r="M165" s="168"/>
      <c r="N165" s="169"/>
      <c r="O165" s="169"/>
      <c r="P165" s="169"/>
    </row>
    <row r="166" spans="1:16" ht="21.75" customHeight="1" x14ac:dyDescent="0.35">
      <c r="A166" s="162"/>
      <c r="B166" s="163"/>
      <c r="C166" s="163"/>
      <c r="D166" s="170"/>
      <c r="E166" s="171"/>
      <c r="F166" s="171" t="s">
        <v>39</v>
      </c>
      <c r="G166" s="164" t="s">
        <v>40</v>
      </c>
      <c r="H166" s="165" t="s">
        <v>12</v>
      </c>
      <c r="I166" s="166"/>
      <c r="J166" s="166"/>
      <c r="K166" s="167"/>
      <c r="L166" s="169"/>
      <c r="M166" s="169"/>
      <c r="N166" s="169"/>
      <c r="O166" s="169"/>
      <c r="P166" s="169"/>
    </row>
    <row r="167" spans="1:16" ht="21.75" customHeight="1" x14ac:dyDescent="0.35">
      <c r="A167" s="162"/>
      <c r="B167" s="163"/>
      <c r="C167" s="163"/>
      <c r="D167" s="170"/>
      <c r="E167" s="171"/>
      <c r="F167" s="171"/>
      <c r="G167" s="176" t="s">
        <v>42</v>
      </c>
      <c r="H167" s="165" t="s">
        <v>12</v>
      </c>
      <c r="I167" s="166"/>
      <c r="J167" s="166"/>
      <c r="K167" s="167"/>
      <c r="L167" s="175"/>
      <c r="M167" s="175"/>
      <c r="N167" s="172"/>
      <c r="O167" s="175"/>
      <c r="P167" s="175"/>
    </row>
    <row r="168" spans="1:16" ht="21.75" customHeight="1" x14ac:dyDescent="0.35">
      <c r="A168" s="182"/>
      <c r="B168" s="183"/>
      <c r="C168" s="163" t="s">
        <v>16</v>
      </c>
      <c r="D168" s="184" t="s">
        <v>43</v>
      </c>
      <c r="E168" s="185"/>
      <c r="F168" s="185"/>
      <c r="G168" s="186"/>
      <c r="H168" s="187"/>
      <c r="I168" s="166"/>
      <c r="J168" s="166"/>
      <c r="K168" s="167"/>
      <c r="L168" s="188"/>
      <c r="M168" s="188"/>
      <c r="N168" s="188"/>
      <c r="O168" s="188"/>
      <c r="P168" s="188"/>
    </row>
    <row r="169" spans="1:16" ht="21.75" customHeight="1" x14ac:dyDescent="0.35">
      <c r="A169" s="182"/>
      <c r="B169" s="183"/>
      <c r="C169" s="183"/>
      <c r="D169" s="189">
        <v>1</v>
      </c>
      <c r="E169" s="190" t="s">
        <v>44</v>
      </c>
      <c r="F169" s="191"/>
      <c r="G169" s="192"/>
      <c r="H169" s="193"/>
      <c r="I169" s="194"/>
      <c r="J169" s="195">
        <f ca="1">IFERROR(__xludf.DUMMYFUNCTION("IMPORTRANGE(""https://docs.google.com/spreadsheets/d/1IYY_tgx_IHuhSq3AJ5eI5OnqOPBNLWSHKh2a30DoXe8/edit?usp=sharing"",""พัทลุง!J94"")"),0)</f>
        <v>0</v>
      </c>
      <c r="K169" s="167"/>
      <c r="L169" s="188"/>
      <c r="M169" s="188"/>
      <c r="N169" s="188"/>
      <c r="O169" s="188"/>
      <c r="P169" s="188"/>
    </row>
    <row r="170" spans="1:16" ht="21.75" customHeight="1" x14ac:dyDescent="0.35">
      <c r="A170" s="182"/>
      <c r="B170" s="183"/>
      <c r="C170" s="183"/>
      <c r="D170" s="196">
        <v>2</v>
      </c>
      <c r="E170" s="197" t="s">
        <v>45</v>
      </c>
      <c r="F170" s="198"/>
      <c r="G170" s="199"/>
      <c r="H170" s="193"/>
      <c r="I170" s="194"/>
      <c r="J170" s="204">
        <f ca="1">IFERROR(__xludf.DUMMYFUNCTION("IMPORTRANGE(""https://docs.google.com/spreadsheets/d/1IYY_tgx_IHuhSq3AJ5eI5OnqOPBNLWSHKh2a30DoXe8/edit?usp=sharing"",""พัทลุง!J95"")"),1)</f>
        <v>1</v>
      </c>
      <c r="K170" s="167"/>
      <c r="L170" s="188"/>
      <c r="M170" s="188"/>
      <c r="N170" s="188"/>
      <c r="O170" s="188"/>
      <c r="P170" s="188"/>
    </row>
    <row r="171" spans="1:16" ht="21.75" customHeight="1" x14ac:dyDescent="0.35">
      <c r="A171" s="182"/>
      <c r="B171" s="183"/>
      <c r="C171" s="183"/>
      <c r="D171" s="200"/>
      <c r="E171" s="201" t="s">
        <v>46</v>
      </c>
      <c r="F171" s="202"/>
      <c r="G171" s="203"/>
      <c r="H171" s="193"/>
      <c r="I171" s="194"/>
      <c r="J171" s="204">
        <f ca="1">IFERROR(__xludf.DUMMYFUNCTION("IMPORTRANGE(""https://docs.google.com/spreadsheets/d/1IYY_tgx_IHuhSq3AJ5eI5OnqOPBNLWSHKh2a30DoXe8/edit?usp=sharing"",""พัทลุง!J96"")"),1)</f>
        <v>1</v>
      </c>
      <c r="K171" s="167"/>
      <c r="L171" s="188"/>
      <c r="M171" s="188"/>
      <c r="N171" s="188"/>
      <c r="O171" s="188"/>
      <c r="P171" s="188"/>
    </row>
    <row r="172" spans="1:16" ht="21.75" customHeight="1" x14ac:dyDescent="0.35">
      <c r="A172" s="182"/>
      <c r="B172" s="183"/>
      <c r="C172" s="183"/>
      <c r="D172" s="200"/>
      <c r="E172" s="201" t="s">
        <v>47</v>
      </c>
      <c r="F172" s="202"/>
      <c r="G172" s="203"/>
      <c r="H172" s="193"/>
      <c r="I172" s="194"/>
      <c r="J172" s="204">
        <f ca="1">IFERROR(__xludf.DUMMYFUNCTION("IMPORTRANGE(""https://docs.google.com/spreadsheets/d/1IYY_tgx_IHuhSq3AJ5eI5OnqOPBNLWSHKh2a30DoXe8/edit?usp=sharing"",""พัทลุง!J97"")"),1)</f>
        <v>1</v>
      </c>
      <c r="K172" s="167"/>
      <c r="L172" s="188"/>
      <c r="M172" s="188"/>
      <c r="N172" s="188"/>
      <c r="O172" s="188"/>
      <c r="P172" s="188"/>
    </row>
    <row r="173" spans="1:16" ht="21.75" customHeight="1" x14ac:dyDescent="0.35">
      <c r="A173" s="182"/>
      <c r="B173" s="183"/>
      <c r="C173" s="183"/>
      <c r="D173" s="200"/>
      <c r="E173" s="205"/>
      <c r="F173" s="211" t="s">
        <v>84</v>
      </c>
      <c r="G173" s="203"/>
      <c r="H173" s="187" t="s">
        <v>83</v>
      </c>
      <c r="I173" s="194">
        <f ca="1">IFERROR(__xludf.DUMMYFUNCTION("IMPORTRANGE(""https://docs.google.com/spreadsheets/d/1IYY_tgx_IHuhSq3AJ5eI5OnqOPBNLWSHKh2a30DoXe8/edit?usp=sharing"",""พัทลุง!I98"")"),2)</f>
        <v>2</v>
      </c>
      <c r="J173" s="195">
        <f ca="1">IFERROR(__xludf.DUMMYFUNCTION("IMPORTRANGE(""https://docs.google.com/spreadsheets/d/1IYY_tgx_IHuhSq3AJ5eI5OnqOPBNLWSHKh2a30DoXe8/edit?usp=sharing"",""พัทลุง!J98"")"),2)</f>
        <v>2</v>
      </c>
      <c r="K173" s="167">
        <f ca="1">IF(I173&gt;0,J173*100/I173,0)</f>
        <v>100</v>
      </c>
      <c r="L173" s="175"/>
      <c r="M173" s="175"/>
      <c r="N173" s="172"/>
      <c r="O173" s="175"/>
      <c r="P173" s="175"/>
    </row>
    <row r="174" spans="1:16" ht="21.75" customHeight="1" x14ac:dyDescent="0.35">
      <c r="A174" s="182"/>
      <c r="B174" s="183"/>
      <c r="C174" s="183"/>
      <c r="D174" s="200"/>
      <c r="E174" s="201" t="s">
        <v>53</v>
      </c>
      <c r="F174" s="202"/>
      <c r="G174" s="203"/>
      <c r="H174" s="193"/>
      <c r="I174" s="194"/>
      <c r="J174" s="204">
        <f ca="1">IFERROR(__xludf.DUMMYFUNCTION("IMPORTRANGE(""https://docs.google.com/spreadsheets/d/1IYY_tgx_IHuhSq3AJ5eI5OnqOPBNLWSHKh2a30DoXe8/edit?usp=sharing"",""พัทลุง!J99"")"),0)</f>
        <v>0</v>
      </c>
      <c r="K174" s="167"/>
      <c r="L174" s="188"/>
      <c r="M174" s="188"/>
      <c r="N174" s="188"/>
      <c r="O174" s="188"/>
      <c r="P174" s="188"/>
    </row>
    <row r="175" spans="1:16" ht="21.75" customHeight="1" x14ac:dyDescent="0.35">
      <c r="A175" s="182"/>
      <c r="B175" s="183"/>
      <c r="C175" s="183"/>
      <c r="D175" s="212">
        <v>3</v>
      </c>
      <c r="E175" s="213" t="s">
        <v>54</v>
      </c>
      <c r="F175" s="214"/>
      <c r="G175" s="215"/>
      <c r="H175" s="193"/>
      <c r="I175" s="194"/>
      <c r="J175" s="216">
        <f ca="1">IFERROR(__xludf.DUMMYFUNCTION("IMPORTRANGE(""https://docs.google.com/spreadsheets/d/1IYY_tgx_IHuhSq3AJ5eI5OnqOPBNLWSHKh2a30DoXe8/edit?usp=sharing"",""พัทลุง!J100"")"),0)</f>
        <v>0</v>
      </c>
      <c r="K175" s="167"/>
      <c r="L175" s="188"/>
      <c r="M175" s="188"/>
      <c r="N175" s="188"/>
      <c r="O175" s="188"/>
      <c r="P175" s="188"/>
    </row>
    <row r="176" spans="1:16" ht="21.75" customHeight="1" x14ac:dyDescent="0.35">
      <c r="A176" s="276"/>
      <c r="B176" s="277"/>
      <c r="C176" s="278" t="s">
        <v>85</v>
      </c>
      <c r="D176" s="278"/>
      <c r="E176" s="278"/>
      <c r="F176" s="278"/>
      <c r="G176" s="279"/>
      <c r="H176" s="289" t="s">
        <v>83</v>
      </c>
      <c r="I176" s="290">
        <f ca="1">IFERROR(__xludf.DUMMYFUNCTION("IMPORTRANGE(""https://docs.google.com/spreadsheets/d/1IYY_tgx_IHuhSq3AJ5eI5OnqOPBNLWSHKh2a30DoXe8/edit?usp=sharing"",""พัทลุง!I101"")"),0)</f>
        <v>0</v>
      </c>
      <c r="J176" s="290">
        <f ca="1">IFERROR(__xludf.DUMMYFUNCTION("IMPORTRANGE(""https://docs.google.com/spreadsheets/d/1IYY_tgx_IHuhSq3AJ5eI5OnqOPBNLWSHKh2a30DoXe8/edit?usp=sharing"",""พัทลุง!J101"")"),0)</f>
        <v>0</v>
      </c>
      <c r="K176" s="291">
        <f ca="1">IF(I176&gt;0,J176*100/I176,0)</f>
        <v>0</v>
      </c>
      <c r="L176" s="283"/>
      <c r="M176" s="283"/>
      <c r="N176" s="283"/>
      <c r="O176" s="283"/>
      <c r="P176" s="283"/>
    </row>
    <row r="177" spans="1:16" ht="21.75" customHeight="1" x14ac:dyDescent="0.35">
      <c r="A177" s="162"/>
      <c r="B177" s="163"/>
      <c r="C177" s="163" t="s">
        <v>16</v>
      </c>
      <c r="D177" s="284" t="s">
        <v>77</v>
      </c>
      <c r="E177" s="171"/>
      <c r="F177" s="171"/>
      <c r="G177" s="164" t="s">
        <v>38</v>
      </c>
      <c r="H177" s="165" t="s">
        <v>12</v>
      </c>
      <c r="I177" s="166" t="s">
        <v>39</v>
      </c>
      <c r="J177" s="166"/>
      <c r="K177" s="167"/>
      <c r="L177" s="168"/>
      <c r="M177" s="168"/>
      <c r="N177" s="169"/>
      <c r="O177" s="169"/>
      <c r="P177" s="169"/>
    </row>
    <row r="178" spans="1:16" ht="21.75" customHeight="1" x14ac:dyDescent="0.35">
      <c r="A178" s="162"/>
      <c r="B178" s="163"/>
      <c r="C178" s="163"/>
      <c r="D178" s="170"/>
      <c r="E178" s="171"/>
      <c r="F178" s="171" t="s">
        <v>39</v>
      </c>
      <c r="G178" s="164" t="s">
        <v>40</v>
      </c>
      <c r="H178" s="165" t="s">
        <v>12</v>
      </c>
      <c r="I178" s="166"/>
      <c r="J178" s="166"/>
      <c r="K178" s="167"/>
      <c r="L178" s="169"/>
      <c r="M178" s="169"/>
      <c r="N178" s="169"/>
      <c r="O178" s="169"/>
      <c r="P178" s="169"/>
    </row>
    <row r="179" spans="1:16" ht="21.75" customHeight="1" x14ac:dyDescent="0.35">
      <c r="A179" s="162"/>
      <c r="B179" s="163"/>
      <c r="C179" s="163"/>
      <c r="D179" s="170"/>
      <c r="E179" s="171"/>
      <c r="F179" s="171"/>
      <c r="G179" s="176" t="s">
        <v>42</v>
      </c>
      <c r="H179" s="165" t="s">
        <v>12</v>
      </c>
      <c r="I179" s="166"/>
      <c r="J179" s="194"/>
      <c r="K179" s="230"/>
      <c r="L179" s="175"/>
      <c r="M179" s="175"/>
      <c r="N179" s="172"/>
      <c r="O179" s="175"/>
      <c r="P179" s="175"/>
    </row>
    <row r="180" spans="1:16" ht="21.75" customHeight="1" x14ac:dyDescent="0.35">
      <c r="A180" s="182"/>
      <c r="B180" s="183"/>
      <c r="C180" s="163" t="s">
        <v>16</v>
      </c>
      <c r="D180" s="184" t="s">
        <v>43</v>
      </c>
      <c r="E180" s="185"/>
      <c r="F180" s="185"/>
      <c r="G180" s="186"/>
      <c r="H180" s="187"/>
      <c r="I180" s="166"/>
      <c r="J180" s="194"/>
      <c r="K180" s="230"/>
      <c r="L180" s="175"/>
      <c r="M180" s="175"/>
      <c r="N180" s="175"/>
      <c r="O180" s="188"/>
      <c r="P180" s="188"/>
    </row>
    <row r="181" spans="1:16" ht="21.75" customHeight="1" x14ac:dyDescent="0.35">
      <c r="A181" s="182"/>
      <c r="B181" s="183"/>
      <c r="C181" s="183"/>
      <c r="D181" s="189">
        <v>1</v>
      </c>
      <c r="E181" s="190" t="s">
        <v>44</v>
      </c>
      <c r="F181" s="191"/>
      <c r="G181" s="192"/>
      <c r="H181" s="193"/>
      <c r="I181" s="194"/>
      <c r="J181" s="194">
        <f ca="1">IFERROR(__xludf.DUMMYFUNCTION("IMPORTRANGE(""https://docs.google.com/spreadsheets/d/1IYY_tgx_IHuhSq3AJ5eI5OnqOPBNLWSHKh2a30DoXe8/edit?usp=sharing"",""พัทลุง!J106"")"),0)</f>
        <v>0</v>
      </c>
      <c r="K181" s="230"/>
      <c r="L181" s="175"/>
      <c r="M181" s="175"/>
      <c r="N181" s="175"/>
      <c r="O181" s="188"/>
      <c r="P181" s="188"/>
    </row>
    <row r="182" spans="1:16" ht="21.75" customHeight="1" x14ac:dyDescent="0.35">
      <c r="A182" s="182"/>
      <c r="B182" s="183"/>
      <c r="C182" s="183"/>
      <c r="D182" s="196">
        <v>2</v>
      </c>
      <c r="E182" s="197" t="s">
        <v>45</v>
      </c>
      <c r="F182" s="198"/>
      <c r="G182" s="199"/>
      <c r="H182" s="193"/>
      <c r="I182" s="194"/>
      <c r="J182" s="194">
        <f ca="1">IFERROR(__xludf.DUMMYFUNCTION("IMPORTRANGE(""https://docs.google.com/spreadsheets/d/1IYY_tgx_IHuhSq3AJ5eI5OnqOPBNLWSHKh2a30DoXe8/edit?usp=sharing"",""พัทลุง!J107"")"),0)</f>
        <v>0</v>
      </c>
      <c r="K182" s="230"/>
      <c r="L182" s="175"/>
      <c r="M182" s="175"/>
      <c r="N182" s="175"/>
      <c r="O182" s="188"/>
      <c r="P182" s="188"/>
    </row>
    <row r="183" spans="1:16" ht="21.75" customHeight="1" x14ac:dyDescent="0.35">
      <c r="A183" s="182"/>
      <c r="B183" s="183"/>
      <c r="C183" s="183"/>
      <c r="D183" s="200"/>
      <c r="E183" s="201" t="s">
        <v>46</v>
      </c>
      <c r="F183" s="202"/>
      <c r="G183" s="203"/>
      <c r="H183" s="193"/>
      <c r="I183" s="194"/>
      <c r="J183" s="194">
        <f ca="1">IFERROR(__xludf.DUMMYFUNCTION("IMPORTRANGE(""https://docs.google.com/spreadsheets/d/1IYY_tgx_IHuhSq3AJ5eI5OnqOPBNLWSHKh2a30DoXe8/edit?usp=sharing"",""พัทลุง!J108"")"),0)</f>
        <v>0</v>
      </c>
      <c r="K183" s="230"/>
      <c r="L183" s="175"/>
      <c r="M183" s="175"/>
      <c r="N183" s="175"/>
      <c r="O183" s="188"/>
      <c r="P183" s="188"/>
    </row>
    <row r="184" spans="1:16" ht="21.75" customHeight="1" x14ac:dyDescent="0.35">
      <c r="A184" s="182"/>
      <c r="B184" s="183"/>
      <c r="C184" s="183"/>
      <c r="D184" s="200"/>
      <c r="E184" s="201" t="s">
        <v>47</v>
      </c>
      <c r="F184" s="202"/>
      <c r="G184" s="203"/>
      <c r="H184" s="193"/>
      <c r="I184" s="194"/>
      <c r="J184" s="194">
        <f ca="1">IFERROR(__xludf.DUMMYFUNCTION("IMPORTRANGE(""https://docs.google.com/spreadsheets/d/1IYY_tgx_IHuhSq3AJ5eI5OnqOPBNLWSHKh2a30DoXe8/edit?usp=sharing"",""พัทลุง!J109"")"),0)</f>
        <v>0</v>
      </c>
      <c r="K184" s="230"/>
      <c r="L184" s="175"/>
      <c r="M184" s="175"/>
      <c r="N184" s="175"/>
      <c r="O184" s="188"/>
      <c r="P184" s="188"/>
    </row>
    <row r="185" spans="1:16" ht="21.75" customHeight="1" x14ac:dyDescent="0.35">
      <c r="A185" s="182"/>
      <c r="B185" s="183"/>
      <c r="C185" s="183"/>
      <c r="D185" s="200"/>
      <c r="E185" s="205"/>
      <c r="F185" s="201" t="s">
        <v>86</v>
      </c>
      <c r="G185" s="203"/>
      <c r="H185" s="187" t="s">
        <v>83</v>
      </c>
      <c r="I185" s="194">
        <f ca="1">IFERROR(__xludf.DUMMYFUNCTION("IMPORTRANGE(""https://docs.google.com/spreadsheets/d/1IYY_tgx_IHuhSq3AJ5eI5OnqOPBNLWSHKh2a30DoXe8/edit?usp=sharing"",""พัทลุง!I110"")"),0)</f>
        <v>0</v>
      </c>
      <c r="J185" s="210">
        <f ca="1">IFERROR(__xludf.DUMMYFUNCTION("IMPORTRANGE(""https://docs.google.com/spreadsheets/d/1IYY_tgx_IHuhSq3AJ5eI5OnqOPBNLWSHKh2a30DoXe8/edit?usp=sharing"",""พัทลุง!J110"")"),0)</f>
        <v>0</v>
      </c>
      <c r="K185" s="230">
        <f t="shared" ref="K185:K186" ca="1" si="68">IF(I185&gt;0,J185*100/I185,0)</f>
        <v>0</v>
      </c>
      <c r="L185" s="175"/>
      <c r="M185" s="175"/>
      <c r="N185" s="172"/>
      <c r="O185" s="175"/>
      <c r="P185" s="175"/>
    </row>
    <row r="186" spans="1:16" ht="21.75" customHeight="1" x14ac:dyDescent="0.35">
      <c r="A186" s="182"/>
      <c r="B186" s="183"/>
      <c r="C186" s="183"/>
      <c r="D186" s="200"/>
      <c r="E186" s="205"/>
      <c r="F186" s="201" t="s">
        <v>87</v>
      </c>
      <c r="G186" s="203"/>
      <c r="H186" s="187" t="s">
        <v>83</v>
      </c>
      <c r="I186" s="194">
        <f ca="1">IFERROR(__xludf.DUMMYFUNCTION("IMPORTRANGE(""https://docs.google.com/spreadsheets/d/1IYY_tgx_IHuhSq3AJ5eI5OnqOPBNLWSHKh2a30DoXe8/edit?usp=sharing"",""พัทลุง!I111"")"),0)</f>
        <v>0</v>
      </c>
      <c r="J186" s="210">
        <f ca="1">IFERROR(__xludf.DUMMYFUNCTION("IMPORTRANGE(""https://docs.google.com/spreadsheets/d/1IYY_tgx_IHuhSq3AJ5eI5OnqOPBNLWSHKh2a30DoXe8/edit?usp=sharing"",""พัทลุง!J111"")"),0)</f>
        <v>0</v>
      </c>
      <c r="K186" s="230">
        <f t="shared" ca="1" si="68"/>
        <v>0</v>
      </c>
      <c r="L186" s="175"/>
      <c r="M186" s="175"/>
      <c r="N186" s="172"/>
      <c r="O186" s="175"/>
      <c r="P186" s="175"/>
    </row>
    <row r="187" spans="1:16" ht="21.75" customHeight="1" x14ac:dyDescent="0.35">
      <c r="A187" s="182"/>
      <c r="B187" s="183"/>
      <c r="C187" s="183"/>
      <c r="D187" s="200"/>
      <c r="E187" s="201" t="s">
        <v>53</v>
      </c>
      <c r="F187" s="202"/>
      <c r="G187" s="203"/>
      <c r="H187" s="193"/>
      <c r="I187" s="194"/>
      <c r="J187" s="194">
        <f ca="1">IFERROR(__xludf.DUMMYFUNCTION("IMPORTRANGE(""https://docs.google.com/spreadsheets/d/1IYY_tgx_IHuhSq3AJ5eI5OnqOPBNLWSHKh2a30DoXe8/edit?usp=sharing"",""พัทลุง!J112"")"),0)</f>
        <v>0</v>
      </c>
      <c r="K187" s="230"/>
      <c r="L187" s="175"/>
      <c r="M187" s="175"/>
      <c r="N187" s="175"/>
      <c r="O187" s="188"/>
      <c r="P187" s="188"/>
    </row>
    <row r="188" spans="1:16" ht="21.75" customHeight="1" x14ac:dyDescent="0.35">
      <c r="A188" s="182"/>
      <c r="B188" s="183"/>
      <c r="C188" s="183"/>
      <c r="D188" s="212">
        <v>3</v>
      </c>
      <c r="E188" s="213" t="s">
        <v>54</v>
      </c>
      <c r="F188" s="214"/>
      <c r="G188" s="215"/>
      <c r="H188" s="193"/>
      <c r="I188" s="194"/>
      <c r="J188" s="233">
        <f ca="1">IFERROR(__xludf.DUMMYFUNCTION("IMPORTRANGE(""https://docs.google.com/spreadsheets/d/1IYY_tgx_IHuhSq3AJ5eI5OnqOPBNLWSHKh2a30DoXe8/edit?usp=sharing"",""พัทลุง!J113"")"),0)</f>
        <v>0</v>
      </c>
      <c r="K188" s="230"/>
      <c r="L188" s="175"/>
      <c r="M188" s="175"/>
      <c r="N188" s="175"/>
      <c r="O188" s="188"/>
      <c r="P188" s="188"/>
    </row>
    <row r="189" spans="1:16" ht="21.75" customHeight="1" x14ac:dyDescent="0.35">
      <c r="A189" s="276"/>
      <c r="B189" s="277"/>
      <c r="C189" s="278" t="s">
        <v>88</v>
      </c>
      <c r="D189" s="278"/>
      <c r="E189" s="278"/>
      <c r="F189" s="278"/>
      <c r="G189" s="279"/>
      <c r="H189" s="292" t="s">
        <v>89</v>
      </c>
      <c r="I189" s="290">
        <f ca="1">IFERROR(__xludf.DUMMYFUNCTION("IMPORTRANGE(""https://docs.google.com/spreadsheets/d/1IYY_tgx_IHuhSq3AJ5eI5OnqOPBNLWSHKh2a30DoXe8/edit?usp=sharing"",""พัทลุง!I114"")"),10000)</f>
        <v>10000</v>
      </c>
      <c r="J189" s="290">
        <f ca="1">IFERROR(__xludf.DUMMYFUNCTION("IMPORTRANGE(""https://docs.google.com/spreadsheets/d/1IYY_tgx_IHuhSq3AJ5eI5OnqOPBNLWSHKh2a30DoXe8/edit?usp=sharing"",""พัทลุง!J114"")"),0)</f>
        <v>0</v>
      </c>
      <c r="K189" s="291">
        <f ca="1">IF(I189&gt;0,J189*100/I189,0)</f>
        <v>0</v>
      </c>
      <c r="L189" s="283"/>
      <c r="M189" s="283"/>
      <c r="N189" s="283"/>
      <c r="O189" s="283"/>
      <c r="P189" s="283"/>
    </row>
    <row r="190" spans="1:16" ht="21.75" customHeight="1" x14ac:dyDescent="0.35">
      <c r="A190" s="162"/>
      <c r="B190" s="163"/>
      <c r="C190" s="163" t="s">
        <v>16</v>
      </c>
      <c r="D190" s="284" t="s">
        <v>77</v>
      </c>
      <c r="E190" s="171"/>
      <c r="F190" s="171"/>
      <c r="G190" s="164" t="s">
        <v>38</v>
      </c>
      <c r="H190" s="165" t="s">
        <v>12</v>
      </c>
      <c r="I190" s="166" t="s">
        <v>39</v>
      </c>
      <c r="J190" s="166"/>
      <c r="K190" s="167"/>
      <c r="L190" s="168"/>
      <c r="M190" s="168"/>
      <c r="N190" s="169"/>
      <c r="O190" s="169"/>
      <c r="P190" s="169"/>
    </row>
    <row r="191" spans="1:16" ht="21.75" customHeight="1" x14ac:dyDescent="0.35">
      <c r="A191" s="162"/>
      <c r="B191" s="163"/>
      <c r="C191" s="163"/>
      <c r="D191" s="170"/>
      <c r="E191" s="171"/>
      <c r="F191" s="171" t="s">
        <v>39</v>
      </c>
      <c r="G191" s="164" t="s">
        <v>40</v>
      </c>
      <c r="H191" s="165" t="s">
        <v>12</v>
      </c>
      <c r="I191" s="166"/>
      <c r="J191" s="166"/>
      <c r="K191" s="167"/>
      <c r="L191" s="169"/>
      <c r="M191" s="169"/>
      <c r="N191" s="169"/>
      <c r="O191" s="169"/>
      <c r="P191" s="169"/>
    </row>
    <row r="192" spans="1:16" ht="21.75" customHeight="1" x14ac:dyDescent="0.35">
      <c r="A192" s="162"/>
      <c r="B192" s="163"/>
      <c r="C192" s="163"/>
      <c r="D192" s="170"/>
      <c r="E192" s="171"/>
      <c r="F192" s="171"/>
      <c r="G192" s="176" t="s">
        <v>42</v>
      </c>
      <c r="H192" s="165" t="s">
        <v>12</v>
      </c>
      <c r="I192" s="166"/>
      <c r="J192" s="166"/>
      <c r="K192" s="167"/>
      <c r="L192" s="175"/>
      <c r="M192" s="175"/>
      <c r="N192" s="172"/>
      <c r="O192" s="175"/>
      <c r="P192" s="175"/>
    </row>
    <row r="193" spans="1:16" ht="21.75" customHeight="1" x14ac:dyDescent="0.35">
      <c r="A193" s="182"/>
      <c r="B193" s="183"/>
      <c r="C193" s="163" t="s">
        <v>16</v>
      </c>
      <c r="D193" s="184" t="s">
        <v>43</v>
      </c>
      <c r="E193" s="185"/>
      <c r="F193" s="185"/>
      <c r="G193" s="186"/>
      <c r="H193" s="187"/>
      <c r="I193" s="166"/>
      <c r="J193" s="166"/>
      <c r="K193" s="167"/>
      <c r="L193" s="188"/>
      <c r="M193" s="188"/>
      <c r="N193" s="188"/>
      <c r="O193" s="188"/>
      <c r="P193" s="188"/>
    </row>
    <row r="194" spans="1:16" ht="21.75" customHeight="1" x14ac:dyDescent="0.35">
      <c r="A194" s="182"/>
      <c r="B194" s="183"/>
      <c r="C194" s="183"/>
      <c r="D194" s="189">
        <v>1</v>
      </c>
      <c r="E194" s="190" t="s">
        <v>44</v>
      </c>
      <c r="F194" s="191"/>
      <c r="G194" s="192"/>
      <c r="H194" s="193"/>
      <c r="I194" s="194"/>
      <c r="J194" s="204">
        <f ca="1">IFERROR(__xludf.DUMMYFUNCTION("IMPORTRANGE(""https://docs.google.com/spreadsheets/d/1IYY_tgx_IHuhSq3AJ5eI5OnqOPBNLWSHKh2a30DoXe8/edit?usp=sharing"",""พัทลุง!J119"")"),0)</f>
        <v>0</v>
      </c>
      <c r="K194" s="167"/>
      <c r="L194" s="188"/>
      <c r="M194" s="188"/>
      <c r="N194" s="188"/>
      <c r="O194" s="188"/>
      <c r="P194" s="188"/>
    </row>
    <row r="195" spans="1:16" ht="21.75" customHeight="1" x14ac:dyDescent="0.35">
      <c r="A195" s="182"/>
      <c r="B195" s="183"/>
      <c r="C195" s="183"/>
      <c r="D195" s="196">
        <v>2</v>
      </c>
      <c r="E195" s="197" t="s">
        <v>45</v>
      </c>
      <c r="F195" s="198"/>
      <c r="G195" s="199"/>
      <c r="H195" s="193"/>
      <c r="I195" s="194"/>
      <c r="J195" s="195">
        <f ca="1">IFERROR(__xludf.DUMMYFUNCTION("IMPORTRANGE(""https://docs.google.com/spreadsheets/d/1IYY_tgx_IHuhSq3AJ5eI5OnqOPBNLWSHKh2a30DoXe8/edit?usp=sharing"",""พัทลุง!J120"")"),1)</f>
        <v>1</v>
      </c>
      <c r="K195" s="167"/>
      <c r="L195" s="188"/>
      <c r="M195" s="188"/>
      <c r="N195" s="188"/>
      <c r="O195" s="188"/>
      <c r="P195" s="188"/>
    </row>
    <row r="196" spans="1:16" ht="21.75" customHeight="1" x14ac:dyDescent="0.35">
      <c r="A196" s="182"/>
      <c r="B196" s="183"/>
      <c r="C196" s="183"/>
      <c r="D196" s="200"/>
      <c r="E196" s="201" t="s">
        <v>46</v>
      </c>
      <c r="F196" s="202"/>
      <c r="G196" s="203"/>
      <c r="H196" s="193"/>
      <c r="I196" s="194"/>
      <c r="J196" s="195">
        <f ca="1">IFERROR(__xludf.DUMMYFUNCTION("IMPORTRANGE(""https://docs.google.com/spreadsheets/d/1IYY_tgx_IHuhSq3AJ5eI5OnqOPBNLWSHKh2a30DoXe8/edit?usp=sharing"",""พัทลุง!J121"")"),1)</f>
        <v>1</v>
      </c>
      <c r="K196" s="167"/>
      <c r="L196" s="188"/>
      <c r="M196" s="188"/>
      <c r="N196" s="188"/>
      <c r="O196" s="188"/>
      <c r="P196" s="188"/>
    </row>
    <row r="197" spans="1:16" ht="21.75" customHeight="1" x14ac:dyDescent="0.35">
      <c r="A197" s="182"/>
      <c r="B197" s="183"/>
      <c r="C197" s="183"/>
      <c r="D197" s="200"/>
      <c r="E197" s="201" t="s">
        <v>47</v>
      </c>
      <c r="F197" s="202"/>
      <c r="G197" s="203"/>
      <c r="H197" s="193"/>
      <c r="I197" s="194"/>
      <c r="J197" s="204">
        <f ca="1">IFERROR(__xludf.DUMMYFUNCTION("IMPORTRANGE(""https://docs.google.com/spreadsheets/d/1IYY_tgx_IHuhSq3AJ5eI5OnqOPBNLWSHKh2a30DoXe8/edit?usp=sharing"",""พัทลุง!J122"")"),1)</f>
        <v>1</v>
      </c>
      <c r="K197" s="167"/>
      <c r="L197" s="188"/>
      <c r="M197" s="188"/>
      <c r="N197" s="188"/>
      <c r="O197" s="188"/>
      <c r="P197" s="188"/>
    </row>
    <row r="198" spans="1:16" ht="21.75" customHeight="1" x14ac:dyDescent="0.35">
      <c r="A198" s="182"/>
      <c r="B198" s="183"/>
      <c r="C198" s="183"/>
      <c r="D198" s="200"/>
      <c r="E198" s="202"/>
      <c r="F198" s="202" t="s">
        <v>90</v>
      </c>
      <c r="G198" s="203"/>
      <c r="H198" s="187"/>
      <c r="I198" s="194"/>
      <c r="J198" s="194"/>
      <c r="K198" s="167"/>
      <c r="L198" s="188"/>
      <c r="M198" s="188"/>
      <c r="N198" s="188"/>
      <c r="O198" s="188"/>
      <c r="P198" s="188"/>
    </row>
    <row r="199" spans="1:16" ht="21.75" customHeight="1" x14ac:dyDescent="0.35">
      <c r="A199" s="182"/>
      <c r="B199" s="183"/>
      <c r="C199" s="183"/>
      <c r="D199" s="200"/>
      <c r="E199" s="205"/>
      <c r="F199" s="202"/>
      <c r="G199" s="201" t="s">
        <v>91</v>
      </c>
      <c r="H199" s="187" t="s">
        <v>89</v>
      </c>
      <c r="I199" s="194">
        <f ca="1">IFERROR(__xludf.DUMMYFUNCTION("IMPORTRANGE(""https://docs.google.com/spreadsheets/d/1IYY_tgx_IHuhSq3AJ5eI5OnqOPBNLWSHKh2a30DoXe8/edit?usp=sharing"",""พัทลุง!I124"")"),10000)</f>
        <v>10000</v>
      </c>
      <c r="J199" s="195">
        <f ca="1">IFERROR(__xludf.DUMMYFUNCTION("IMPORTRANGE(""https://docs.google.com/spreadsheets/d/1IYY_tgx_IHuhSq3AJ5eI5OnqOPBNLWSHKh2a30DoXe8/edit?usp=sharing"",""พัทลุง!J124"")"),0)</f>
        <v>0</v>
      </c>
      <c r="K199" s="167">
        <f t="shared" ref="K199:K201" ca="1" si="69">IF(I199&gt;0,J199*100/I199,0)</f>
        <v>0</v>
      </c>
      <c r="L199" s="188"/>
      <c r="M199" s="188"/>
      <c r="N199" s="188"/>
      <c r="O199" s="188"/>
      <c r="P199" s="188"/>
    </row>
    <row r="200" spans="1:16" ht="21.75" customHeight="1" x14ac:dyDescent="0.35">
      <c r="A200" s="182"/>
      <c r="B200" s="183"/>
      <c r="C200" s="183"/>
      <c r="D200" s="200"/>
      <c r="E200" s="205"/>
      <c r="F200" s="202"/>
      <c r="G200" s="201" t="s">
        <v>92</v>
      </c>
      <c r="H200" s="187" t="s">
        <v>89</v>
      </c>
      <c r="I200" s="194">
        <f ca="1">IFERROR(__xludf.DUMMYFUNCTION("IMPORTRANGE(""https://docs.google.com/spreadsheets/d/1IYY_tgx_IHuhSq3AJ5eI5OnqOPBNLWSHKh2a30DoXe8/edit?usp=sharing"",""พัทลุง!I125"")"),10000)</f>
        <v>10000</v>
      </c>
      <c r="J200" s="195">
        <f ca="1">IFERROR(__xludf.DUMMYFUNCTION("IMPORTRANGE(""https://docs.google.com/spreadsheets/d/1IYY_tgx_IHuhSq3AJ5eI5OnqOPBNLWSHKh2a30DoXe8/edit?usp=sharing"",""พัทลุง!J125"")"),0)</f>
        <v>0</v>
      </c>
      <c r="K200" s="167">
        <f t="shared" ca="1" si="69"/>
        <v>0</v>
      </c>
      <c r="L200" s="175"/>
      <c r="M200" s="175"/>
      <c r="N200" s="172"/>
      <c r="O200" s="175"/>
      <c r="P200" s="175"/>
    </row>
    <row r="201" spans="1:16" ht="21.75" customHeight="1" x14ac:dyDescent="0.35">
      <c r="A201" s="182"/>
      <c r="B201" s="183"/>
      <c r="C201" s="183"/>
      <c r="D201" s="200"/>
      <c r="E201" s="205"/>
      <c r="F201" s="202" t="s">
        <v>93</v>
      </c>
      <c r="G201" s="203"/>
      <c r="H201" s="187" t="s">
        <v>37</v>
      </c>
      <c r="I201" s="194">
        <f ca="1">IFERROR(__xludf.DUMMYFUNCTION("IMPORTRANGE(""https://docs.google.com/spreadsheets/d/1IYY_tgx_IHuhSq3AJ5eI5OnqOPBNLWSHKh2a30DoXe8/edit?usp=sharing"",""พัทลุง!I126"")"),0)</f>
        <v>0</v>
      </c>
      <c r="J201" s="195">
        <f ca="1">IFERROR(__xludf.DUMMYFUNCTION("IMPORTRANGE(""https://docs.google.com/spreadsheets/d/1IYY_tgx_IHuhSq3AJ5eI5OnqOPBNLWSHKh2a30DoXe8/edit?usp=sharing"",""พัทลุง!J126"")"),0)</f>
        <v>0</v>
      </c>
      <c r="K201" s="167">
        <f t="shared" ca="1" si="69"/>
        <v>0</v>
      </c>
      <c r="L201" s="175"/>
      <c r="M201" s="175"/>
      <c r="N201" s="172"/>
      <c r="O201" s="175"/>
      <c r="P201" s="175"/>
    </row>
    <row r="202" spans="1:16" ht="21.75" customHeight="1" x14ac:dyDescent="0.35">
      <c r="A202" s="182"/>
      <c r="B202" s="183"/>
      <c r="C202" s="183"/>
      <c r="D202" s="200"/>
      <c r="E202" s="201" t="s">
        <v>53</v>
      </c>
      <c r="F202" s="202"/>
      <c r="G202" s="203"/>
      <c r="H202" s="193"/>
      <c r="I202" s="194"/>
      <c r="J202" s="204">
        <f ca="1">IFERROR(__xludf.DUMMYFUNCTION("IMPORTRANGE(""https://docs.google.com/spreadsheets/d/1IYY_tgx_IHuhSq3AJ5eI5OnqOPBNLWSHKh2a30DoXe8/edit?usp=sharing"",""พัทลุง!J127"")"),0)</f>
        <v>0</v>
      </c>
      <c r="K202" s="167"/>
      <c r="L202" s="188"/>
      <c r="M202" s="188"/>
      <c r="N202" s="188"/>
      <c r="O202" s="188"/>
      <c r="P202" s="188"/>
    </row>
    <row r="203" spans="1:16" ht="21.75" customHeight="1" x14ac:dyDescent="0.35">
      <c r="A203" s="240"/>
      <c r="B203" s="241"/>
      <c r="C203" s="241"/>
      <c r="D203" s="242">
        <v>3</v>
      </c>
      <c r="E203" s="243" t="s">
        <v>54</v>
      </c>
      <c r="F203" s="244"/>
      <c r="G203" s="245"/>
      <c r="H203" s="246"/>
      <c r="I203" s="247"/>
      <c r="J203" s="293">
        <f ca="1">IFERROR(__xludf.DUMMYFUNCTION("IMPORTRANGE(""https://docs.google.com/spreadsheets/d/1IYY_tgx_IHuhSq3AJ5eI5OnqOPBNLWSHKh2a30DoXe8/edit?usp=sharing"",""พัทลุง!J128"")"),0)</f>
        <v>0</v>
      </c>
      <c r="K203" s="294"/>
      <c r="L203" s="251"/>
      <c r="M203" s="251"/>
      <c r="N203" s="251"/>
      <c r="O203" s="251"/>
      <c r="P203" s="251"/>
    </row>
    <row r="204" spans="1:16" ht="21.75" customHeight="1" x14ac:dyDescent="0.35">
      <c r="A204" s="276"/>
      <c r="B204" s="277"/>
      <c r="C204" s="295" t="s">
        <v>94</v>
      </c>
      <c r="D204" s="278"/>
      <c r="E204" s="278"/>
      <c r="F204" s="278"/>
      <c r="G204" s="279"/>
      <c r="H204" s="292" t="s">
        <v>37</v>
      </c>
      <c r="I204" s="290">
        <f ca="1">IFERROR(__xludf.DUMMYFUNCTION("IMPORTRANGE(""https://docs.google.com/spreadsheets/d/1IYY_tgx_IHuhSq3AJ5eI5OnqOPBNLWSHKh2a30DoXe8/edit?usp=sharing"",""พัทลุง!I129"")"),0)</f>
        <v>0</v>
      </c>
      <c r="J204" s="290">
        <f ca="1">IFERROR(__xludf.DUMMYFUNCTION("IMPORTRANGE(""https://docs.google.com/spreadsheets/d/1IYY_tgx_IHuhSq3AJ5eI5OnqOPBNLWSHKh2a30DoXe8/edit?usp=sharing"",""พัทลุง!J129"")"),0)</f>
        <v>0</v>
      </c>
      <c r="K204" s="291">
        <f ca="1">IF(I204&gt;0,J204*100/I204,0)</f>
        <v>0</v>
      </c>
      <c r="L204" s="283"/>
      <c r="M204" s="283"/>
      <c r="N204" s="283"/>
      <c r="O204" s="283"/>
      <c r="P204" s="283"/>
    </row>
    <row r="205" spans="1:16" ht="21.75" customHeight="1" x14ac:dyDescent="0.35">
      <c r="A205" s="162"/>
      <c r="B205" s="163"/>
      <c r="C205" s="163" t="s">
        <v>16</v>
      </c>
      <c r="D205" s="284" t="s">
        <v>77</v>
      </c>
      <c r="E205" s="171"/>
      <c r="F205" s="171"/>
      <c r="G205" s="164" t="s">
        <v>38</v>
      </c>
      <c r="H205" s="165" t="s">
        <v>12</v>
      </c>
      <c r="I205" s="166" t="s">
        <v>39</v>
      </c>
      <c r="J205" s="166"/>
      <c r="K205" s="167"/>
      <c r="L205" s="168"/>
      <c r="M205" s="168"/>
      <c r="N205" s="169"/>
      <c r="O205" s="169"/>
      <c r="P205" s="169"/>
    </row>
    <row r="206" spans="1:16" ht="21.75" customHeight="1" x14ac:dyDescent="0.35">
      <c r="A206" s="162"/>
      <c r="B206" s="163"/>
      <c r="C206" s="163"/>
      <c r="D206" s="170"/>
      <c r="E206" s="171"/>
      <c r="F206" s="171" t="s">
        <v>39</v>
      </c>
      <c r="G206" s="164" t="s">
        <v>40</v>
      </c>
      <c r="H206" s="165" t="s">
        <v>12</v>
      </c>
      <c r="I206" s="166"/>
      <c r="J206" s="166"/>
      <c r="K206" s="167"/>
      <c r="L206" s="169"/>
      <c r="M206" s="169"/>
      <c r="N206" s="169"/>
      <c r="O206" s="169"/>
      <c r="P206" s="169"/>
    </row>
    <row r="207" spans="1:16" ht="21.75" customHeight="1" x14ac:dyDescent="0.35">
      <c r="A207" s="162"/>
      <c r="B207" s="163"/>
      <c r="C207" s="163"/>
      <c r="D207" s="170"/>
      <c r="E207" s="171"/>
      <c r="F207" s="171"/>
      <c r="G207" s="176" t="s">
        <v>42</v>
      </c>
      <c r="H207" s="165" t="s">
        <v>12</v>
      </c>
      <c r="I207" s="166"/>
      <c r="J207" s="194"/>
      <c r="K207" s="230"/>
      <c r="L207" s="175"/>
      <c r="M207" s="175"/>
      <c r="N207" s="172"/>
      <c r="O207" s="175"/>
      <c r="P207" s="175"/>
    </row>
    <row r="208" spans="1:16" ht="21.75" customHeight="1" x14ac:dyDescent="0.35">
      <c r="A208" s="182"/>
      <c r="B208" s="183"/>
      <c r="C208" s="163" t="s">
        <v>16</v>
      </c>
      <c r="D208" s="184" t="s">
        <v>43</v>
      </c>
      <c r="E208" s="185"/>
      <c r="F208" s="185"/>
      <c r="G208" s="186"/>
      <c r="H208" s="187"/>
      <c r="I208" s="166"/>
      <c r="J208" s="194"/>
      <c r="K208" s="230"/>
      <c r="L208" s="175"/>
      <c r="M208" s="175"/>
      <c r="N208" s="175"/>
      <c r="O208" s="188"/>
      <c r="P208" s="188"/>
    </row>
    <row r="209" spans="1:16" ht="21.75" customHeight="1" x14ac:dyDescent="0.35">
      <c r="A209" s="182"/>
      <c r="B209" s="183"/>
      <c r="C209" s="183"/>
      <c r="D209" s="189">
        <v>1</v>
      </c>
      <c r="E209" s="190" t="s">
        <v>44</v>
      </c>
      <c r="F209" s="191"/>
      <c r="G209" s="192"/>
      <c r="H209" s="193"/>
      <c r="I209" s="194"/>
      <c r="J209" s="194">
        <f ca="1">IFERROR(__xludf.DUMMYFUNCTION("IMPORTRANGE(""https://docs.google.com/spreadsheets/d/1IYY_tgx_IHuhSq3AJ5eI5OnqOPBNLWSHKh2a30DoXe8/edit?usp=sharing"",""พัทลุง!J134"")"),0)</f>
        <v>0</v>
      </c>
      <c r="K209" s="230"/>
      <c r="L209" s="175"/>
      <c r="M209" s="175"/>
      <c r="N209" s="175"/>
      <c r="O209" s="188"/>
      <c r="P209" s="188"/>
    </row>
    <row r="210" spans="1:16" ht="21.75" customHeight="1" x14ac:dyDescent="0.35">
      <c r="A210" s="182"/>
      <c r="B210" s="183"/>
      <c r="C210" s="183"/>
      <c r="D210" s="196">
        <v>2</v>
      </c>
      <c r="E210" s="197" t="s">
        <v>45</v>
      </c>
      <c r="F210" s="198"/>
      <c r="G210" s="199"/>
      <c r="H210" s="193"/>
      <c r="I210" s="194"/>
      <c r="J210" s="194">
        <f ca="1">IFERROR(__xludf.DUMMYFUNCTION("IMPORTRANGE(""https://docs.google.com/spreadsheets/d/1IYY_tgx_IHuhSq3AJ5eI5OnqOPBNLWSHKh2a30DoXe8/edit?usp=sharing"",""พัทลุง!J135"")"),0)</f>
        <v>0</v>
      </c>
      <c r="K210" s="230"/>
      <c r="L210" s="175"/>
      <c r="M210" s="175"/>
      <c r="N210" s="175"/>
      <c r="O210" s="188"/>
      <c r="P210" s="188"/>
    </row>
    <row r="211" spans="1:16" ht="21.75" customHeight="1" x14ac:dyDescent="0.35">
      <c r="A211" s="182"/>
      <c r="B211" s="183"/>
      <c r="C211" s="183"/>
      <c r="D211" s="200"/>
      <c r="E211" s="201" t="s">
        <v>46</v>
      </c>
      <c r="F211" s="202"/>
      <c r="G211" s="203"/>
      <c r="H211" s="193"/>
      <c r="I211" s="194"/>
      <c r="J211" s="194">
        <f ca="1">IFERROR(__xludf.DUMMYFUNCTION("IMPORTRANGE(""https://docs.google.com/spreadsheets/d/1IYY_tgx_IHuhSq3AJ5eI5OnqOPBNLWSHKh2a30DoXe8/edit?usp=sharing"",""พัทลุง!J136"")"),0)</f>
        <v>0</v>
      </c>
      <c r="K211" s="230"/>
      <c r="L211" s="175"/>
      <c r="M211" s="175"/>
      <c r="N211" s="175"/>
      <c r="O211" s="188"/>
      <c r="P211" s="188"/>
    </row>
    <row r="212" spans="1:16" ht="21.75" customHeight="1" x14ac:dyDescent="0.35">
      <c r="A212" s="182"/>
      <c r="B212" s="183"/>
      <c r="C212" s="183"/>
      <c r="D212" s="200"/>
      <c r="E212" s="201" t="s">
        <v>47</v>
      </c>
      <c r="F212" s="202"/>
      <c r="G212" s="203"/>
      <c r="H212" s="193"/>
      <c r="I212" s="194"/>
      <c r="J212" s="194">
        <f ca="1">IFERROR(__xludf.DUMMYFUNCTION("IMPORTRANGE(""https://docs.google.com/spreadsheets/d/1IYY_tgx_IHuhSq3AJ5eI5OnqOPBNLWSHKh2a30DoXe8/edit?usp=sharing"",""พัทลุง!J137"")"),0)</f>
        <v>0</v>
      </c>
      <c r="K212" s="230"/>
      <c r="L212" s="175"/>
      <c r="M212" s="175"/>
      <c r="N212" s="175"/>
      <c r="O212" s="188"/>
      <c r="P212" s="188"/>
    </row>
    <row r="213" spans="1:16" ht="21.75" customHeight="1" x14ac:dyDescent="0.35">
      <c r="A213" s="182"/>
      <c r="B213" s="183"/>
      <c r="C213" s="183"/>
      <c r="D213" s="200"/>
      <c r="E213" s="205"/>
      <c r="F213" s="202" t="s">
        <v>95</v>
      </c>
      <c r="G213" s="203"/>
      <c r="H213" s="187" t="s">
        <v>37</v>
      </c>
      <c r="I213" s="194">
        <f ca="1">IFERROR(__xludf.DUMMYFUNCTION("IMPORTRANGE(""https://docs.google.com/spreadsheets/d/1IYY_tgx_IHuhSq3AJ5eI5OnqOPBNLWSHKh2a30DoXe8/edit?usp=sharing"",""พัทลุง!I138"")"),0)</f>
        <v>0</v>
      </c>
      <c r="J213" s="210">
        <f ca="1">IFERROR(__xludf.DUMMYFUNCTION("IMPORTRANGE(""https://docs.google.com/spreadsheets/d/1IYY_tgx_IHuhSq3AJ5eI5OnqOPBNLWSHKh2a30DoXe8/edit?usp=sharing"",""พัทลุง!J138"")"),0)</f>
        <v>0</v>
      </c>
      <c r="K213" s="230">
        <f ca="1">IF(I213&gt;0,J213*100/I213,0)</f>
        <v>0</v>
      </c>
      <c r="L213" s="175"/>
      <c r="M213" s="175"/>
      <c r="N213" s="172"/>
      <c r="O213" s="175"/>
      <c r="P213" s="175"/>
    </row>
    <row r="214" spans="1:16" ht="21.75" customHeight="1" x14ac:dyDescent="0.35">
      <c r="A214" s="182"/>
      <c r="B214" s="183"/>
      <c r="C214" s="183"/>
      <c r="D214" s="200"/>
      <c r="E214" s="205"/>
      <c r="F214" s="201" t="s">
        <v>52</v>
      </c>
      <c r="G214" s="203"/>
      <c r="H214" s="187"/>
      <c r="I214" s="194"/>
      <c r="J214" s="194"/>
      <c r="K214" s="230"/>
      <c r="L214" s="175"/>
      <c r="M214" s="175"/>
      <c r="N214" s="175"/>
      <c r="O214" s="188"/>
      <c r="P214" s="188"/>
    </row>
    <row r="215" spans="1:16" ht="21.75" customHeight="1" x14ac:dyDescent="0.35">
      <c r="A215" s="182"/>
      <c r="B215" s="183"/>
      <c r="C215" s="183"/>
      <c r="D215" s="200"/>
      <c r="E215" s="205"/>
      <c r="F215" s="202"/>
      <c r="G215" s="232" t="s">
        <v>96</v>
      </c>
      <c r="H215" s="187" t="s">
        <v>37</v>
      </c>
      <c r="I215" s="194">
        <f ca="1">IFERROR(__xludf.DUMMYFUNCTION("IMPORTRANGE(""https://docs.google.com/spreadsheets/d/1IYY_tgx_IHuhSq3AJ5eI5OnqOPBNLWSHKh2a30DoXe8/edit?usp=sharing"",""พัทลุง!I140"")"),0)</f>
        <v>0</v>
      </c>
      <c r="J215" s="210">
        <f ca="1">IFERROR(__xludf.DUMMYFUNCTION("IMPORTRANGE(""https://docs.google.com/spreadsheets/d/1IYY_tgx_IHuhSq3AJ5eI5OnqOPBNLWSHKh2a30DoXe8/edit?usp=sharing"",""พัทลุง!J140"")"),0)</f>
        <v>0</v>
      </c>
      <c r="K215" s="230">
        <f t="shared" ref="K215:K216" ca="1" si="70">IF(I215&gt;0,J215*100/I215,0)</f>
        <v>0</v>
      </c>
      <c r="L215" s="175"/>
      <c r="M215" s="175"/>
      <c r="N215" s="172"/>
      <c r="O215" s="175"/>
      <c r="P215" s="175"/>
    </row>
    <row r="216" spans="1:16" ht="21.75" customHeight="1" x14ac:dyDescent="0.35">
      <c r="A216" s="182"/>
      <c r="B216" s="183"/>
      <c r="C216" s="183"/>
      <c r="D216" s="200"/>
      <c r="E216" s="205"/>
      <c r="F216" s="202"/>
      <c r="G216" s="232" t="s">
        <v>97</v>
      </c>
      <c r="H216" s="187" t="s">
        <v>58</v>
      </c>
      <c r="I216" s="194">
        <f ca="1">IFERROR(__xludf.DUMMYFUNCTION("IMPORTRANGE(""https://docs.google.com/spreadsheets/d/1IYY_tgx_IHuhSq3AJ5eI5OnqOPBNLWSHKh2a30DoXe8/edit?usp=sharing"",""พัทลุง!I141"")"),0)</f>
        <v>0</v>
      </c>
      <c r="J216" s="210">
        <f ca="1">IFERROR(__xludf.DUMMYFUNCTION("IMPORTRANGE(""https://docs.google.com/spreadsheets/d/1IYY_tgx_IHuhSq3AJ5eI5OnqOPBNLWSHKh2a30DoXe8/edit?usp=sharing"",""พัทลุง!J141"")"),0)</f>
        <v>0</v>
      </c>
      <c r="K216" s="230">
        <f t="shared" ca="1" si="70"/>
        <v>0</v>
      </c>
      <c r="L216" s="175"/>
      <c r="M216" s="175"/>
      <c r="N216" s="172"/>
      <c r="O216" s="175"/>
      <c r="P216" s="175"/>
    </row>
    <row r="217" spans="1:16" ht="21.75" customHeight="1" x14ac:dyDescent="0.35">
      <c r="A217" s="182"/>
      <c r="B217" s="183"/>
      <c r="C217" s="183"/>
      <c r="D217" s="200"/>
      <c r="E217" s="201" t="s">
        <v>53</v>
      </c>
      <c r="F217" s="202"/>
      <c r="G217" s="203"/>
      <c r="H217" s="193"/>
      <c r="I217" s="194"/>
      <c r="J217" s="194">
        <f ca="1">IFERROR(__xludf.DUMMYFUNCTION("IMPORTRANGE(""https://docs.google.com/spreadsheets/d/1IYY_tgx_IHuhSq3AJ5eI5OnqOPBNLWSHKh2a30DoXe8/edit?usp=sharing"",""พัทลุง!J142"")"),0)</f>
        <v>0</v>
      </c>
      <c r="K217" s="230"/>
      <c r="L217" s="175"/>
      <c r="M217" s="175"/>
      <c r="N217" s="175"/>
      <c r="O217" s="188"/>
      <c r="P217" s="188"/>
    </row>
    <row r="218" spans="1:16" ht="21.75" customHeight="1" x14ac:dyDescent="0.35">
      <c r="A218" s="240"/>
      <c r="B218" s="241"/>
      <c r="C218" s="241"/>
      <c r="D218" s="242">
        <v>3</v>
      </c>
      <c r="E218" s="243" t="s">
        <v>54</v>
      </c>
      <c r="F218" s="244"/>
      <c r="G218" s="245"/>
      <c r="H218" s="246"/>
      <c r="I218" s="247"/>
      <c r="J218" s="248">
        <f ca="1">IFERROR(__xludf.DUMMYFUNCTION("IMPORTRANGE(""https://docs.google.com/spreadsheets/d/1IYY_tgx_IHuhSq3AJ5eI5OnqOPBNLWSHKh2a30DoXe8/edit?usp=sharing"",""พัทลุง!J143"")"),0)</f>
        <v>0</v>
      </c>
      <c r="K218" s="249"/>
      <c r="L218" s="250"/>
      <c r="M218" s="250"/>
      <c r="N218" s="250"/>
      <c r="O218" s="251"/>
      <c r="P218" s="251"/>
    </row>
    <row r="219" spans="1:16" ht="21.75" customHeight="1" x14ac:dyDescent="0.35">
      <c r="A219" s="268"/>
      <c r="B219" s="269" t="s">
        <v>98</v>
      </c>
      <c r="C219" s="270"/>
      <c r="D219" s="269"/>
      <c r="E219" s="269"/>
      <c r="F219" s="269"/>
      <c r="G219" s="271"/>
      <c r="H219" s="272" t="s">
        <v>37</v>
      </c>
      <c r="I219" s="273">
        <f ca="1">IFERROR(__xludf.DUMMYFUNCTION("IMPORTRANGE(""https://docs.google.com/spreadsheets/d/1IYY_tgx_IHuhSq3AJ5eI5OnqOPBNLWSHKh2a30DoXe8/edit?usp=sharing"",""พัทลุง!I144"")"),13)</f>
        <v>13</v>
      </c>
      <c r="J219" s="273">
        <f ca="1">IFERROR(__xludf.DUMMYFUNCTION("IMPORTRANGE(""https://docs.google.com/spreadsheets/d/1IYY_tgx_IHuhSq3AJ5eI5OnqOPBNLWSHKh2a30DoXe8/edit?usp=sharing"",""พัทลุง!J144"")"),13)</f>
        <v>13</v>
      </c>
      <c r="K219" s="274">
        <f ca="1">IF(I219&gt;0,J219*100/I219,0)</f>
        <v>100</v>
      </c>
      <c r="L219" s="275"/>
      <c r="M219" s="275"/>
      <c r="N219" s="275"/>
      <c r="O219" s="274"/>
      <c r="P219" s="274"/>
    </row>
    <row r="220" spans="1:16" ht="21.75" customHeight="1" x14ac:dyDescent="0.45">
      <c r="A220" s="150"/>
      <c r="B220" s="151"/>
      <c r="C220" s="152" t="s">
        <v>16</v>
      </c>
      <c r="D220" s="530" t="s">
        <v>17</v>
      </c>
      <c r="E220" s="531"/>
      <c r="F220" s="531"/>
      <c r="G220" s="531"/>
      <c r="H220" s="153" t="s">
        <v>12</v>
      </c>
      <c r="I220" s="166"/>
      <c r="J220" s="166"/>
      <c r="K220" s="167"/>
      <c r="L220" s="156">
        <f t="shared" ref="L220:N220" ca="1" si="71">L221+L222</f>
        <v>19295</v>
      </c>
      <c r="M220" s="156">
        <f t="shared" ca="1" si="71"/>
        <v>19295</v>
      </c>
      <c r="N220" s="156">
        <f t="shared" ca="1" si="71"/>
        <v>18845</v>
      </c>
      <c r="O220" s="155">
        <f t="shared" ref="O220:O222" ca="1" si="72">IF(L220&gt;0,N220*100/L220,0)</f>
        <v>97.667789582793475</v>
      </c>
      <c r="P220" s="155">
        <f t="shared" ref="P220:P222" ca="1" si="73">IF(M220&gt;0,N220*100/M220,0)</f>
        <v>97.667789582793475</v>
      </c>
    </row>
    <row r="221" spans="1:16" ht="21.75" customHeight="1" x14ac:dyDescent="0.45">
      <c r="A221" s="157"/>
      <c r="B221" s="32"/>
      <c r="C221" s="32"/>
      <c r="D221" s="32"/>
      <c r="E221" s="32"/>
      <c r="F221" s="32"/>
      <c r="G221" s="33" t="s">
        <v>18</v>
      </c>
      <c r="H221" s="158" t="s">
        <v>12</v>
      </c>
      <c r="I221" s="166"/>
      <c r="J221" s="166"/>
      <c r="K221" s="167"/>
      <c r="L221" s="161">
        <f t="shared" ref="L221:N221" si="74">L223+L227</f>
        <v>0</v>
      </c>
      <c r="M221" s="161">
        <f t="shared" si="74"/>
        <v>0</v>
      </c>
      <c r="N221" s="161">
        <f t="shared" si="74"/>
        <v>0</v>
      </c>
      <c r="O221" s="160">
        <f t="shared" si="72"/>
        <v>0</v>
      </c>
      <c r="P221" s="160">
        <f t="shared" si="73"/>
        <v>0</v>
      </c>
    </row>
    <row r="222" spans="1:16" ht="21.75" customHeight="1" x14ac:dyDescent="0.45">
      <c r="A222" s="157"/>
      <c r="B222" s="32"/>
      <c r="C222" s="32"/>
      <c r="D222" s="32"/>
      <c r="E222" s="32"/>
      <c r="F222" s="32"/>
      <c r="G222" s="33" t="s">
        <v>19</v>
      </c>
      <c r="H222" s="158" t="s">
        <v>12</v>
      </c>
      <c r="I222" s="166"/>
      <c r="J222" s="166"/>
      <c r="K222" s="167"/>
      <c r="L222" s="161">
        <f t="shared" ref="L222:N222" ca="1" si="75">L224+L228</f>
        <v>19295</v>
      </c>
      <c r="M222" s="161">
        <f t="shared" ca="1" si="75"/>
        <v>19295</v>
      </c>
      <c r="N222" s="161">
        <f t="shared" ca="1" si="75"/>
        <v>18845</v>
      </c>
      <c r="O222" s="160">
        <f t="shared" ca="1" si="72"/>
        <v>97.667789582793475</v>
      </c>
      <c r="P222" s="160">
        <f t="shared" ca="1" si="73"/>
        <v>97.667789582793475</v>
      </c>
    </row>
    <row r="223" spans="1:16" ht="21.75" customHeight="1" x14ac:dyDescent="0.45">
      <c r="A223" s="162"/>
      <c r="B223" s="163"/>
      <c r="C223" s="163" t="s">
        <v>16</v>
      </c>
      <c r="D223" s="527" t="s">
        <v>20</v>
      </c>
      <c r="E223" s="528"/>
      <c r="F223" s="528"/>
      <c r="G223" s="164" t="s">
        <v>38</v>
      </c>
      <c r="H223" s="165" t="s">
        <v>12</v>
      </c>
      <c r="I223" s="166" t="s">
        <v>39</v>
      </c>
      <c r="J223" s="166"/>
      <c r="K223" s="167"/>
      <c r="L223" s="168">
        <v>0</v>
      </c>
      <c r="M223" s="168"/>
      <c r="N223" s="168">
        <v>0</v>
      </c>
      <c r="O223" s="169">
        <f>+IF(L223&gt;0,N223*100/L223,0)</f>
        <v>0</v>
      </c>
      <c r="P223" s="169"/>
    </row>
    <row r="224" spans="1:16" ht="21.75" customHeight="1" x14ac:dyDescent="0.35">
      <c r="A224" s="162"/>
      <c r="B224" s="163"/>
      <c r="C224" s="163"/>
      <c r="D224" s="170"/>
      <c r="E224" s="171"/>
      <c r="F224" s="171" t="s">
        <v>39</v>
      </c>
      <c r="G224" s="164" t="s">
        <v>40</v>
      </c>
      <c r="H224" s="165" t="s">
        <v>12</v>
      </c>
      <c r="I224" s="166"/>
      <c r="J224" s="166"/>
      <c r="K224" s="167"/>
      <c r="L224" s="172">
        <f ca="1">L225+L226</f>
        <v>19295</v>
      </c>
      <c r="M224" s="173">
        <f ca="1">IFERROR(__xludf.DUMMYFUNCTION("IMPORTRANGE(""https://docs.google.com/spreadsheets/d/1Yj_ptqi66GCucihVvJfMjLAmec39IyEx_6qawtMGysU/edit?usp=sharing"",""สบก!BS88"")"),19295)</f>
        <v>19295</v>
      </c>
      <c r="N224" s="174">
        <f ca="1">IFERROR(__xludf.DUMMYFUNCTION("IMPORTRANGE(""https://docs.google.com/spreadsheets/d/1Yj_ptqi66GCucihVvJfMjLAmec39IyEx_6qawtMGysU/edit?usp=sharing"",""สบก!BT88"")"),18845)</f>
        <v>18845</v>
      </c>
      <c r="O224" s="175">
        <f ca="1">IF(L224&gt;0,N224*100/L224,0)</f>
        <v>97.667789582793475</v>
      </c>
      <c r="P224" s="175">
        <f ca="1">IF(M224&gt;0,N224*100/M224,0)</f>
        <v>97.667789582793475</v>
      </c>
    </row>
    <row r="225" spans="1:16" ht="21.75" customHeight="1" x14ac:dyDescent="0.35">
      <c r="A225" s="162"/>
      <c r="B225" s="163"/>
      <c r="C225" s="163"/>
      <c r="D225" s="170"/>
      <c r="E225" s="171"/>
      <c r="F225" s="171"/>
      <c r="G225" s="176" t="s">
        <v>41</v>
      </c>
      <c r="H225" s="165" t="s">
        <v>12</v>
      </c>
      <c r="I225" s="166"/>
      <c r="J225" s="166"/>
      <c r="K225" s="167"/>
      <c r="L225" s="173">
        <f ca="1">IFERROR(__xludf.DUMMYFUNCTION("IMPORTRANGE(""https://docs.google.com/spreadsheets/d/1Yj_ptqi66GCucihVvJfMjLAmec39IyEx_6qawtMGysU/edit?usp=sharing"",""สบก!BO88"")"),0)</f>
        <v>0</v>
      </c>
      <c r="M225" s="172"/>
      <c r="N225" s="172"/>
      <c r="O225" s="175"/>
      <c r="P225" s="175"/>
    </row>
    <row r="226" spans="1:16" ht="21.75" customHeight="1" x14ac:dyDescent="0.35">
      <c r="A226" s="162"/>
      <c r="B226" s="163"/>
      <c r="C226" s="163"/>
      <c r="D226" s="170"/>
      <c r="E226" s="171"/>
      <c r="F226" s="171"/>
      <c r="G226" s="176" t="s">
        <v>42</v>
      </c>
      <c r="H226" s="165" t="s">
        <v>12</v>
      </c>
      <c r="I226" s="166"/>
      <c r="J226" s="166"/>
      <c r="K226" s="167"/>
      <c r="L226" s="173">
        <f ca="1">IFERROR(__xludf.DUMMYFUNCTION("IMPORTRANGE(""https://docs.google.com/spreadsheets/d/1Yj_ptqi66GCucihVvJfMjLAmec39IyEx_6qawtMGysU/edit?usp=sharing"",""สบก!BP88"")"),19295)</f>
        <v>19295</v>
      </c>
      <c r="M226" s="172"/>
      <c r="N226" s="172"/>
      <c r="O226" s="175"/>
      <c r="P226" s="175"/>
    </row>
    <row r="227" spans="1:16" ht="21.75" customHeight="1" x14ac:dyDescent="0.45">
      <c r="A227" s="177"/>
      <c r="B227" s="81"/>
      <c r="C227" s="82" t="s">
        <v>16</v>
      </c>
      <c r="D227" s="529" t="s">
        <v>23</v>
      </c>
      <c r="E227" s="528"/>
      <c r="F227" s="89"/>
      <c r="G227" s="83" t="s">
        <v>18</v>
      </c>
      <c r="H227" s="178" t="s">
        <v>12</v>
      </c>
      <c r="I227" s="207"/>
      <c r="J227" s="207"/>
      <c r="K227" s="296"/>
      <c r="L227" s="93">
        <v>0</v>
      </c>
      <c r="M227" s="93"/>
      <c r="N227" s="42"/>
      <c r="O227" s="93"/>
      <c r="P227" s="93"/>
    </row>
    <row r="228" spans="1:16" ht="21.75" customHeight="1" x14ac:dyDescent="0.45">
      <c r="A228" s="179"/>
      <c r="B228" s="95"/>
      <c r="C228" s="95"/>
      <c r="D228" s="180"/>
      <c r="E228" s="96"/>
      <c r="F228" s="96"/>
      <c r="G228" s="97" t="s">
        <v>19</v>
      </c>
      <c r="H228" s="181" t="s">
        <v>12</v>
      </c>
      <c r="I228" s="207"/>
      <c r="J228" s="207"/>
      <c r="K228" s="296"/>
      <c r="L228" s="91">
        <f ca="1">IFERROR(__xludf.DUMMYFUNCTION("IMPORTRANGE(""https://docs.google.com/spreadsheets/d/1Yj_ptqi66GCucihVvJfMjLAmec39IyEx_6qawtMGysU/edit?usp=sharing"",""สบก!BQ88"")"),0)</f>
        <v>0</v>
      </c>
      <c r="M228" s="101"/>
      <c r="N228" s="91">
        <f ca="1">IFERROR(__xludf.DUMMYFUNCTION("IMPORTRANGE(""https://docs.google.com/spreadsheets/d/1Yj_ptqi66GCucihVvJfMjLAmec39IyEx_6qawtMGysU/edit?usp=sharing"",""สบก!BU88"")"),0)</f>
        <v>0</v>
      </c>
      <c r="O228" s="101">
        <f ca="1">IF(L228&gt;0,N228*100/L228,0)</f>
        <v>0</v>
      </c>
      <c r="P228" s="101"/>
    </row>
    <row r="229" spans="1:16" ht="21.75" customHeight="1" x14ac:dyDescent="0.35">
      <c r="A229" s="182"/>
      <c r="B229" s="297"/>
      <c r="C229" s="270" t="s">
        <v>99</v>
      </c>
      <c r="D229" s="269"/>
      <c r="E229" s="269"/>
      <c r="F229" s="269"/>
      <c r="G229" s="271"/>
      <c r="H229" s="272" t="s">
        <v>37</v>
      </c>
      <c r="I229" s="273">
        <f ca="1">IFERROR(__xludf.DUMMYFUNCTION("IMPORTRANGE(""https://docs.google.com/spreadsheets/d/1IYY_tgx_IHuhSq3AJ5eI5OnqOPBNLWSHKh2a30DoXe8/edit?usp=sharing"",""พัทลุง!I149"")"),13)</f>
        <v>13</v>
      </c>
      <c r="J229" s="273">
        <f ca="1">IFERROR(__xludf.DUMMYFUNCTION("IMPORTRANGE(""https://docs.google.com/spreadsheets/d/1IYY_tgx_IHuhSq3AJ5eI5OnqOPBNLWSHKh2a30DoXe8/edit?usp=sharing"",""พัทลุง!J149"")"),13)</f>
        <v>13</v>
      </c>
      <c r="K229" s="274">
        <f ca="1">IF(I229&gt;0,J229*100/I229,0)</f>
        <v>100</v>
      </c>
      <c r="L229" s="298"/>
      <c r="M229" s="298"/>
      <c r="N229" s="298"/>
      <c r="O229" s="298"/>
      <c r="P229" s="298"/>
    </row>
    <row r="230" spans="1:16" ht="21.75" customHeight="1" x14ac:dyDescent="0.35">
      <c r="A230" s="182"/>
      <c r="B230" s="183"/>
      <c r="C230" s="163" t="s">
        <v>16</v>
      </c>
      <c r="D230" s="184" t="s">
        <v>43</v>
      </c>
      <c r="E230" s="185"/>
      <c r="F230" s="185"/>
      <c r="G230" s="186"/>
      <c r="H230" s="187"/>
      <c r="I230" s="166"/>
      <c r="J230" s="166"/>
      <c r="K230" s="167"/>
      <c r="L230" s="188"/>
      <c r="M230" s="188"/>
      <c r="N230" s="188"/>
      <c r="O230" s="188"/>
      <c r="P230" s="188"/>
    </row>
    <row r="231" spans="1:16" ht="21.75" customHeight="1" x14ac:dyDescent="0.35">
      <c r="A231" s="182"/>
      <c r="B231" s="183"/>
      <c r="C231" s="183"/>
      <c r="D231" s="189">
        <v>1</v>
      </c>
      <c r="E231" s="190" t="s">
        <v>44</v>
      </c>
      <c r="F231" s="191"/>
      <c r="G231" s="192"/>
      <c r="H231" s="193"/>
      <c r="I231" s="194"/>
      <c r="J231" s="204">
        <f ca="1">IFERROR(__xludf.DUMMYFUNCTION("IMPORTRANGE(""https://docs.google.com/spreadsheets/d/1IYY_tgx_IHuhSq3AJ5eI5OnqOPBNLWSHKh2a30DoXe8/edit?usp=sharing"",""พัทลุง!J151"")"),0)</f>
        <v>0</v>
      </c>
      <c r="K231" s="167"/>
      <c r="L231" s="188"/>
      <c r="M231" s="188"/>
      <c r="N231" s="188"/>
      <c r="O231" s="188"/>
      <c r="P231" s="188"/>
    </row>
    <row r="232" spans="1:16" ht="21.75" customHeight="1" x14ac:dyDescent="0.35">
      <c r="A232" s="182"/>
      <c r="B232" s="183"/>
      <c r="C232" s="183"/>
      <c r="D232" s="196">
        <v>2</v>
      </c>
      <c r="E232" s="197" t="s">
        <v>45</v>
      </c>
      <c r="F232" s="198"/>
      <c r="G232" s="199"/>
      <c r="H232" s="193"/>
      <c r="I232" s="194"/>
      <c r="J232" s="195">
        <f ca="1">IFERROR(__xludf.DUMMYFUNCTION("IMPORTRANGE(""https://docs.google.com/spreadsheets/d/1IYY_tgx_IHuhSq3AJ5eI5OnqOPBNLWSHKh2a30DoXe8/edit?usp=sharing"",""พัทลุง!J152"")"),1)</f>
        <v>1</v>
      </c>
      <c r="K232" s="167"/>
      <c r="L232" s="188" t="s">
        <v>39</v>
      </c>
      <c r="M232" s="188"/>
      <c r="N232" s="188" t="s">
        <v>39</v>
      </c>
      <c r="O232" s="188"/>
      <c r="P232" s="188"/>
    </row>
    <row r="233" spans="1:16" ht="21.75" customHeight="1" x14ac:dyDescent="0.35">
      <c r="A233" s="182"/>
      <c r="B233" s="183"/>
      <c r="C233" s="183"/>
      <c r="D233" s="200"/>
      <c r="E233" s="201" t="s">
        <v>46</v>
      </c>
      <c r="F233" s="202"/>
      <c r="G233" s="203"/>
      <c r="H233" s="193"/>
      <c r="I233" s="194"/>
      <c r="J233" s="195">
        <f ca="1">IFERROR(__xludf.DUMMYFUNCTION("IMPORTRANGE(""https://docs.google.com/spreadsheets/d/1IYY_tgx_IHuhSq3AJ5eI5OnqOPBNLWSHKh2a30DoXe8/edit?usp=sharing"",""พัทลุง!J153"")"),1)</f>
        <v>1</v>
      </c>
      <c r="K233" s="167"/>
      <c r="L233" s="188"/>
      <c r="M233" s="188"/>
      <c r="N233" s="188"/>
      <c r="O233" s="188"/>
      <c r="P233" s="188"/>
    </row>
    <row r="234" spans="1:16" ht="21.75" customHeight="1" x14ac:dyDescent="0.35">
      <c r="A234" s="182"/>
      <c r="B234" s="183"/>
      <c r="C234" s="183"/>
      <c r="D234" s="200"/>
      <c r="E234" s="201" t="s">
        <v>47</v>
      </c>
      <c r="F234" s="202"/>
      <c r="G234" s="203"/>
      <c r="H234" s="193"/>
      <c r="I234" s="194"/>
      <c r="J234" s="204">
        <f ca="1">IFERROR(__xludf.DUMMYFUNCTION("IMPORTRANGE(""https://docs.google.com/spreadsheets/d/1IYY_tgx_IHuhSq3AJ5eI5OnqOPBNLWSHKh2a30DoXe8/edit?usp=sharing"",""พัทลุง!J154"")"),1)</f>
        <v>1</v>
      </c>
      <c r="K234" s="167"/>
      <c r="L234" s="188"/>
      <c r="M234" s="188"/>
      <c r="N234" s="188"/>
      <c r="O234" s="188"/>
      <c r="P234" s="188"/>
    </row>
    <row r="235" spans="1:16" ht="21.75" customHeight="1" x14ac:dyDescent="0.35">
      <c r="A235" s="182"/>
      <c r="B235" s="183"/>
      <c r="C235" s="183"/>
      <c r="D235" s="200"/>
      <c r="E235" s="205"/>
      <c r="F235" s="202"/>
      <c r="G235" s="299" t="s">
        <v>69</v>
      </c>
      <c r="H235" s="193" t="s">
        <v>37</v>
      </c>
      <c r="I235" s="194">
        <f ca="1">IFERROR(__xludf.DUMMYFUNCTION("IMPORTRANGE(""https://docs.google.com/spreadsheets/d/1IYY_tgx_IHuhSq3AJ5eI5OnqOPBNLWSHKh2a30DoXe8/edit?usp=sharing"",""พัทลุง!I155"")"),13)</f>
        <v>13</v>
      </c>
      <c r="J235" s="195">
        <f ca="1">IFERROR(__xludf.DUMMYFUNCTION("IMPORTRANGE(""https://docs.google.com/spreadsheets/d/1IYY_tgx_IHuhSq3AJ5eI5OnqOPBNLWSHKh2a30DoXe8/edit?usp=sharing"",""พัทลุง!J155"")"),13)</f>
        <v>13</v>
      </c>
      <c r="K235" s="167">
        <f ca="1">IF(I235&gt;0,J235*100/I235,0)</f>
        <v>100</v>
      </c>
      <c r="L235" s="188"/>
      <c r="M235" s="188"/>
      <c r="N235" s="188"/>
      <c r="O235" s="188"/>
      <c r="P235" s="188"/>
    </row>
    <row r="236" spans="1:16" ht="21.75" customHeight="1" x14ac:dyDescent="0.35">
      <c r="A236" s="182"/>
      <c r="B236" s="183"/>
      <c r="C236" s="183"/>
      <c r="D236" s="200"/>
      <c r="E236" s="201" t="s">
        <v>53</v>
      </c>
      <c r="F236" s="202"/>
      <c r="G236" s="203"/>
      <c r="H236" s="193"/>
      <c r="I236" s="194"/>
      <c r="J236" s="204">
        <f ca="1">IFERROR(__xludf.DUMMYFUNCTION("IMPORTRANGE(""https://docs.google.com/spreadsheets/d/1IYY_tgx_IHuhSq3AJ5eI5OnqOPBNLWSHKh2a30DoXe8/edit?usp=sharing"",""พัทลุง!J156"")"),0)</f>
        <v>0</v>
      </c>
      <c r="K236" s="167"/>
      <c r="L236" s="188"/>
      <c r="M236" s="188"/>
      <c r="N236" s="188"/>
      <c r="O236" s="188"/>
      <c r="P236" s="188"/>
    </row>
    <row r="237" spans="1:16" ht="21.75" customHeight="1" x14ac:dyDescent="0.35">
      <c r="A237" s="182"/>
      <c r="B237" s="183"/>
      <c r="C237" s="183"/>
      <c r="D237" s="212">
        <v>3</v>
      </c>
      <c r="E237" s="213" t="s">
        <v>54</v>
      </c>
      <c r="F237" s="214"/>
      <c r="G237" s="215"/>
      <c r="H237" s="193"/>
      <c r="I237" s="194"/>
      <c r="J237" s="216">
        <f ca="1">IFERROR(__xludf.DUMMYFUNCTION("IMPORTRANGE(""https://docs.google.com/spreadsheets/d/1IYY_tgx_IHuhSq3AJ5eI5OnqOPBNLWSHKh2a30DoXe8/edit?usp=sharing"",""พัทลุง!J157"")"),0)</f>
        <v>0</v>
      </c>
      <c r="K237" s="167"/>
      <c r="L237" s="188"/>
      <c r="M237" s="188"/>
      <c r="N237" s="188"/>
      <c r="O237" s="188"/>
      <c r="P237" s="188"/>
    </row>
    <row r="238" spans="1:16" ht="21.75" customHeight="1" x14ac:dyDescent="0.35">
      <c r="A238" s="182"/>
      <c r="B238" s="183"/>
      <c r="C238" s="270" t="s">
        <v>100</v>
      </c>
      <c r="D238" s="300"/>
      <c r="E238" s="269"/>
      <c r="F238" s="269"/>
      <c r="G238" s="271"/>
      <c r="H238" s="272" t="s">
        <v>37</v>
      </c>
      <c r="I238" s="273">
        <f ca="1">IFERROR(__xludf.DUMMYFUNCTION("IMPORTRANGE(""https://docs.google.com/spreadsheets/d/1IYY_tgx_IHuhSq3AJ5eI5OnqOPBNLWSHKh2a30DoXe8/edit?usp=sharing"",""พัทลุง!I158"")"),0)</f>
        <v>0</v>
      </c>
      <c r="J238" s="273">
        <f ca="1">IFERROR(__xludf.DUMMYFUNCTION("IMPORTRANGE(""https://docs.google.com/spreadsheets/d/1IYY_tgx_IHuhSq3AJ5eI5OnqOPBNLWSHKh2a30DoXe8/edit?usp=sharing"",""พัทลุง!J158"")"),0)</f>
        <v>0</v>
      </c>
      <c r="K238" s="274">
        <f ca="1">IF(I238&gt;0,J238*100/I238,0)</f>
        <v>0</v>
      </c>
      <c r="L238" s="188"/>
      <c r="M238" s="188"/>
      <c r="N238" s="188"/>
      <c r="O238" s="188"/>
      <c r="P238" s="188"/>
    </row>
    <row r="239" spans="1:16" ht="21.75" customHeight="1" x14ac:dyDescent="0.35">
      <c r="A239" s="182"/>
      <c r="B239" s="183"/>
      <c r="C239" s="163" t="s">
        <v>16</v>
      </c>
      <c r="D239" s="184" t="s">
        <v>43</v>
      </c>
      <c r="E239" s="185"/>
      <c r="F239" s="185"/>
      <c r="G239" s="186"/>
      <c r="H239" s="187"/>
      <c r="I239" s="166"/>
      <c r="J239" s="166"/>
      <c r="K239" s="167"/>
      <c r="L239" s="188"/>
      <c r="M239" s="188"/>
      <c r="N239" s="188"/>
      <c r="O239" s="188"/>
      <c r="P239" s="188"/>
    </row>
    <row r="240" spans="1:16" ht="21.75" customHeight="1" x14ac:dyDescent="0.35">
      <c r="A240" s="182"/>
      <c r="B240" s="183"/>
      <c r="C240" s="183"/>
      <c r="D240" s="189">
        <v>1</v>
      </c>
      <c r="E240" s="190" t="s">
        <v>44</v>
      </c>
      <c r="F240" s="191"/>
      <c r="G240" s="192"/>
      <c r="H240" s="193"/>
      <c r="I240" s="194"/>
      <c r="J240" s="194" t="str">
        <f ca="1">IFERROR(__xludf.DUMMYFUNCTION("IMPORTRANGE(""https://docs.google.com/spreadsheets/d/1IYY_tgx_IHuhSq3AJ5eI5OnqOPBNLWSHKh2a30DoXe8/edit?usp=sharing"",""พัทลุง!J159"")"),"")</f>
        <v/>
      </c>
      <c r="K240" s="167"/>
      <c r="L240" s="188"/>
      <c r="M240" s="188"/>
      <c r="N240" s="188"/>
      <c r="O240" s="188"/>
      <c r="P240" s="188"/>
    </row>
    <row r="241" spans="1:16" ht="21.75" customHeight="1" x14ac:dyDescent="0.35">
      <c r="A241" s="182"/>
      <c r="B241" s="183"/>
      <c r="C241" s="183"/>
      <c r="D241" s="196">
        <v>2</v>
      </c>
      <c r="E241" s="197" t="s">
        <v>45</v>
      </c>
      <c r="F241" s="198"/>
      <c r="G241" s="199"/>
      <c r="H241" s="193"/>
      <c r="I241" s="194"/>
      <c r="J241" s="194">
        <f ca="1">IFERROR(__xludf.DUMMYFUNCTION("IMPORTRANGE(""https://docs.google.com/spreadsheets/d/1IYY_tgx_IHuhSq3AJ5eI5OnqOPBNLWSHKh2a30DoXe8/edit?usp=sharing"",""พัทลุง!J161"")"),0)</f>
        <v>0</v>
      </c>
      <c r="K241" s="167"/>
      <c r="L241" s="188" t="s">
        <v>39</v>
      </c>
      <c r="M241" s="188"/>
      <c r="N241" s="188" t="s">
        <v>39</v>
      </c>
      <c r="O241" s="188"/>
      <c r="P241" s="188"/>
    </row>
    <row r="242" spans="1:16" ht="21.75" customHeight="1" x14ac:dyDescent="0.35">
      <c r="A242" s="182"/>
      <c r="B242" s="183"/>
      <c r="C242" s="183"/>
      <c r="D242" s="200"/>
      <c r="E242" s="201" t="s">
        <v>46</v>
      </c>
      <c r="F242" s="202"/>
      <c r="G242" s="203"/>
      <c r="H242" s="193"/>
      <c r="I242" s="194"/>
      <c r="J242" s="194">
        <f ca="1">IFERROR(__xludf.DUMMYFUNCTION("IMPORTRANGE(""https://docs.google.com/spreadsheets/d/1IYY_tgx_IHuhSq3AJ5eI5OnqOPBNLWSHKh2a30DoXe8/edit?usp=sharing"",""พัทลุง!J162"")"),0)</f>
        <v>0</v>
      </c>
      <c r="K242" s="167"/>
      <c r="L242" s="188"/>
      <c r="M242" s="188"/>
      <c r="N242" s="188"/>
      <c r="O242" s="188"/>
      <c r="P242" s="188"/>
    </row>
    <row r="243" spans="1:16" ht="21.75" customHeight="1" x14ac:dyDescent="0.35">
      <c r="A243" s="182"/>
      <c r="B243" s="183"/>
      <c r="C243" s="183"/>
      <c r="D243" s="200"/>
      <c r="E243" s="201" t="s">
        <v>47</v>
      </c>
      <c r="F243" s="202"/>
      <c r="G243" s="203"/>
      <c r="H243" s="193"/>
      <c r="I243" s="194"/>
      <c r="J243" s="194">
        <f ca="1">IFERROR(__xludf.DUMMYFUNCTION("IMPORTRANGE(""https://docs.google.com/spreadsheets/d/1IYY_tgx_IHuhSq3AJ5eI5OnqOPBNLWSHKh2a30DoXe8/edit?usp=sharing"",""พัทลุง!J163"")"),0)</f>
        <v>0</v>
      </c>
      <c r="K243" s="167"/>
      <c r="L243" s="188"/>
      <c r="M243" s="188"/>
      <c r="N243" s="188"/>
      <c r="O243" s="188"/>
      <c r="P243" s="188"/>
    </row>
    <row r="244" spans="1:16" ht="21.75" customHeight="1" x14ac:dyDescent="0.35">
      <c r="A244" s="182"/>
      <c r="B244" s="183"/>
      <c r="C244" s="183"/>
      <c r="D244" s="200"/>
      <c r="E244" s="202"/>
      <c r="F244" s="201" t="s">
        <v>101</v>
      </c>
      <c r="G244" s="202"/>
      <c r="H244" s="193" t="s">
        <v>37</v>
      </c>
      <c r="I244" s="210">
        <f ca="1">IFERROR(__xludf.DUMMYFUNCTION("IMPORTRANGE(""https://docs.google.com/spreadsheets/d/1IYY_tgx_IHuhSq3AJ5eI5OnqOPBNLWSHKh2a30DoXe8/edit?usp=sharing"",""พัทลุง!I164"")"),0)</f>
        <v>0</v>
      </c>
      <c r="J244" s="194">
        <f ca="1">IFERROR(__xludf.DUMMYFUNCTION("IMPORTRANGE(""https://docs.google.com/spreadsheets/d/1IYY_tgx_IHuhSq3AJ5eI5OnqOPBNLWSHKh2a30DoXe8/edit?usp=sharing"",""พัทลุง!J164"")"),0)</f>
        <v>0</v>
      </c>
      <c r="K244" s="167">
        <f ca="1">IF(I244&gt;0,J244*100/I244,0)</f>
        <v>0</v>
      </c>
      <c r="L244" s="188"/>
      <c r="M244" s="188"/>
      <c r="N244" s="188"/>
      <c r="O244" s="188"/>
      <c r="P244" s="188"/>
    </row>
    <row r="245" spans="1:16" ht="21.75" customHeight="1" x14ac:dyDescent="0.35">
      <c r="A245" s="182"/>
      <c r="B245" s="183"/>
      <c r="C245" s="183"/>
      <c r="D245" s="200"/>
      <c r="E245" s="201" t="s">
        <v>53</v>
      </c>
      <c r="F245" s="202"/>
      <c r="G245" s="203"/>
      <c r="H245" s="193"/>
      <c r="I245" s="194"/>
      <c r="J245" s="194">
        <f ca="1">IFERROR(__xludf.DUMMYFUNCTION("IMPORTRANGE(""https://docs.google.com/spreadsheets/d/1IYY_tgx_IHuhSq3AJ5eI5OnqOPBNLWSHKh2a30DoXe8/edit?usp=sharing"",""พัทลุง!J165"")"),0)</f>
        <v>0</v>
      </c>
      <c r="K245" s="167"/>
      <c r="L245" s="188"/>
      <c r="M245" s="188"/>
      <c r="N245" s="188"/>
      <c r="O245" s="188"/>
      <c r="P245" s="188"/>
    </row>
    <row r="246" spans="1:16" ht="21.75" customHeight="1" x14ac:dyDescent="0.35">
      <c r="A246" s="240"/>
      <c r="B246" s="241"/>
      <c r="C246" s="241"/>
      <c r="D246" s="242">
        <v>3</v>
      </c>
      <c r="E246" s="243" t="s">
        <v>54</v>
      </c>
      <c r="F246" s="244"/>
      <c r="G246" s="245"/>
      <c r="H246" s="246"/>
      <c r="I246" s="247"/>
      <c r="J246" s="248">
        <f ca="1">IFERROR(__xludf.DUMMYFUNCTION("IMPORTRANGE(""https://docs.google.com/spreadsheets/d/1IYY_tgx_IHuhSq3AJ5eI5OnqOPBNLWSHKh2a30DoXe8/edit?usp=sharing"",""พัทลุง!J166"")"),0)</f>
        <v>0</v>
      </c>
      <c r="K246" s="294"/>
      <c r="L246" s="251"/>
      <c r="M246" s="251"/>
      <c r="N246" s="251"/>
      <c r="O246" s="251"/>
      <c r="P246" s="251"/>
    </row>
    <row r="247" spans="1:16" ht="21.75" customHeight="1" x14ac:dyDescent="0.35">
      <c r="A247" s="301" t="s">
        <v>102</v>
      </c>
      <c r="B247" s="302"/>
      <c r="C247" s="302"/>
      <c r="D247" s="302"/>
      <c r="E247" s="303"/>
      <c r="F247" s="303"/>
      <c r="G247" s="304"/>
      <c r="H247" s="305"/>
      <c r="I247" s="306"/>
      <c r="J247" s="306"/>
      <c r="K247" s="307"/>
      <c r="L247" s="308"/>
      <c r="M247" s="308"/>
      <c r="N247" s="308"/>
      <c r="O247" s="309"/>
      <c r="P247" s="309"/>
    </row>
    <row r="248" spans="1:16" ht="21.75" customHeight="1" x14ac:dyDescent="0.35">
      <c r="A248" s="310" t="s">
        <v>103</v>
      </c>
      <c r="B248" s="311"/>
      <c r="C248" s="311"/>
      <c r="D248" s="312"/>
      <c r="E248" s="312"/>
      <c r="F248" s="312"/>
      <c r="G248" s="313"/>
      <c r="H248" s="314"/>
      <c r="I248" s="315"/>
      <c r="J248" s="315"/>
      <c r="K248" s="316"/>
      <c r="L248" s="316"/>
      <c r="M248" s="316"/>
      <c r="N248" s="316"/>
      <c r="O248" s="317"/>
      <c r="P248" s="317"/>
    </row>
    <row r="249" spans="1:16" ht="21.75" customHeight="1" x14ac:dyDescent="0.35">
      <c r="A249" s="318"/>
      <c r="B249" s="319" t="s">
        <v>104</v>
      </c>
      <c r="C249" s="319"/>
      <c r="D249" s="319"/>
      <c r="E249" s="319"/>
      <c r="F249" s="319"/>
      <c r="G249" s="320"/>
      <c r="H249" s="321" t="s">
        <v>37</v>
      </c>
      <c r="I249" s="322">
        <f ca="1">IFERROR(__xludf.DUMMYFUNCTION("IMPORTRANGE(""https://docs.google.com/spreadsheets/d/1IYY_tgx_IHuhSq3AJ5eI5OnqOPBNLWSHKh2a30DoXe8/edit?usp=sharing"",""พัทลุง!I169"")"),20)</f>
        <v>20</v>
      </c>
      <c r="J249" s="322">
        <f ca="1">IFERROR(__xludf.DUMMYFUNCTION("IMPORTRANGE(""https://docs.google.com/spreadsheets/d/1IYY_tgx_IHuhSq3AJ5eI5OnqOPBNLWSHKh2a30DoXe8/edit?usp=sharing"",""พัทลุง!J169"")"),20)</f>
        <v>20</v>
      </c>
      <c r="K249" s="323">
        <f ca="1">IF(I249&gt;0,J249*100/I249,0)</f>
        <v>100</v>
      </c>
      <c r="L249" s="324"/>
      <c r="M249" s="324"/>
      <c r="N249" s="324"/>
      <c r="O249" s="323"/>
      <c r="P249" s="323"/>
    </row>
    <row r="250" spans="1:16" ht="21.75" customHeight="1" x14ac:dyDescent="0.45">
      <c r="A250" s="150"/>
      <c r="B250" s="151"/>
      <c r="C250" s="152" t="s">
        <v>16</v>
      </c>
      <c r="D250" s="530" t="s">
        <v>17</v>
      </c>
      <c r="E250" s="531"/>
      <c r="F250" s="531"/>
      <c r="G250" s="531"/>
      <c r="H250" s="153" t="s">
        <v>12</v>
      </c>
      <c r="I250" s="166"/>
      <c r="J250" s="166"/>
      <c r="K250" s="167"/>
      <c r="L250" s="156">
        <f t="shared" ref="L250:N250" ca="1" si="76">L251+L252</f>
        <v>203400</v>
      </c>
      <c r="M250" s="156">
        <f t="shared" ca="1" si="76"/>
        <v>141000</v>
      </c>
      <c r="N250" s="156">
        <f t="shared" ca="1" si="76"/>
        <v>93740.4</v>
      </c>
      <c r="O250" s="155">
        <f t="shared" ref="O250:O252" ca="1" si="77">IF(L250&gt;0,N250*100/L250,0)</f>
        <v>46.086725663716813</v>
      </c>
      <c r="P250" s="155">
        <f t="shared" ref="P250:P252" ca="1" si="78">IF(M250&gt;0,N250*100/M250,0)</f>
        <v>66.482553191489359</v>
      </c>
    </row>
    <row r="251" spans="1:16" ht="21.75" customHeight="1" x14ac:dyDescent="0.45">
      <c r="A251" s="157"/>
      <c r="B251" s="32"/>
      <c r="C251" s="32"/>
      <c r="D251" s="32"/>
      <c r="E251" s="32"/>
      <c r="F251" s="32"/>
      <c r="G251" s="33" t="s">
        <v>18</v>
      </c>
      <c r="H251" s="158" t="s">
        <v>12</v>
      </c>
      <c r="I251" s="166"/>
      <c r="J251" s="166"/>
      <c r="K251" s="167"/>
      <c r="L251" s="161">
        <f t="shared" ref="L251:N251" si="79">L253+L257</f>
        <v>0</v>
      </c>
      <c r="M251" s="161">
        <f t="shared" si="79"/>
        <v>0</v>
      </c>
      <c r="N251" s="161">
        <f t="shared" si="79"/>
        <v>0</v>
      </c>
      <c r="O251" s="160">
        <f t="shared" si="77"/>
        <v>0</v>
      </c>
      <c r="P251" s="160">
        <f t="shared" si="78"/>
        <v>0</v>
      </c>
    </row>
    <row r="252" spans="1:16" ht="21.75" customHeight="1" x14ac:dyDescent="0.45">
      <c r="A252" s="157"/>
      <c r="B252" s="32"/>
      <c r="C252" s="32"/>
      <c r="D252" s="32"/>
      <c r="E252" s="32"/>
      <c r="F252" s="32"/>
      <c r="G252" s="33" t="s">
        <v>19</v>
      </c>
      <c r="H252" s="158" t="s">
        <v>12</v>
      </c>
      <c r="I252" s="166"/>
      <c r="J252" s="166"/>
      <c r="K252" s="167"/>
      <c r="L252" s="161">
        <f t="shared" ref="L252:N252" ca="1" si="80">L254+L258</f>
        <v>203400</v>
      </c>
      <c r="M252" s="161">
        <f t="shared" ca="1" si="80"/>
        <v>141000</v>
      </c>
      <c r="N252" s="161">
        <f t="shared" ca="1" si="80"/>
        <v>93740.4</v>
      </c>
      <c r="O252" s="160">
        <f t="shared" ca="1" si="77"/>
        <v>46.086725663716813</v>
      </c>
      <c r="P252" s="160">
        <f t="shared" ca="1" si="78"/>
        <v>66.482553191489359</v>
      </c>
    </row>
    <row r="253" spans="1:16" ht="21.75" customHeight="1" x14ac:dyDescent="0.45">
      <c r="A253" s="162"/>
      <c r="B253" s="163"/>
      <c r="C253" s="163" t="s">
        <v>16</v>
      </c>
      <c r="D253" s="527" t="s">
        <v>20</v>
      </c>
      <c r="E253" s="528"/>
      <c r="F253" s="528"/>
      <c r="G253" s="164" t="s">
        <v>38</v>
      </c>
      <c r="H253" s="165" t="s">
        <v>12</v>
      </c>
      <c r="I253" s="166" t="s">
        <v>39</v>
      </c>
      <c r="J253" s="166"/>
      <c r="K253" s="167"/>
      <c r="L253" s="168">
        <v>0</v>
      </c>
      <c r="M253" s="168"/>
      <c r="N253" s="168">
        <v>0</v>
      </c>
      <c r="O253" s="169">
        <f>+IF(L253&gt;0,N253*100/L253,0)</f>
        <v>0</v>
      </c>
      <c r="P253" s="169"/>
    </row>
    <row r="254" spans="1:16" ht="21.75" customHeight="1" x14ac:dyDescent="0.35">
      <c r="A254" s="162"/>
      <c r="B254" s="163"/>
      <c r="C254" s="163"/>
      <c r="D254" s="170"/>
      <c r="E254" s="171"/>
      <c r="F254" s="171" t="s">
        <v>39</v>
      </c>
      <c r="G254" s="164" t="s">
        <v>40</v>
      </c>
      <c r="H254" s="165" t="s">
        <v>12</v>
      </c>
      <c r="I254" s="166"/>
      <c r="J254" s="166"/>
      <c r="K254" s="167"/>
      <c r="L254" s="172">
        <f ca="1">L255+L256</f>
        <v>203400</v>
      </c>
      <c r="M254" s="173">
        <f ca="1">IFERROR(__xludf.DUMMYFUNCTION("IMPORTRANGE(""https://docs.google.com/spreadsheets/d/1Yj_ptqi66GCucihVvJfMjLAmec39IyEx_6qawtMGysU/edit?usp=sharing"",""สบก!CB88"")"),141000)</f>
        <v>141000</v>
      </c>
      <c r="N254" s="174">
        <f ca="1">IFERROR(__xludf.DUMMYFUNCTION("IMPORTRANGE(""https://docs.google.com/spreadsheets/d/1Yj_ptqi66GCucihVvJfMjLAmec39IyEx_6qawtMGysU/edit?usp=sharing"",""สบก!CC88"")"),93740.4)</f>
        <v>93740.4</v>
      </c>
      <c r="O254" s="175">
        <f ca="1">IF(L254&gt;0,N254*100/L254,0)</f>
        <v>46.086725663716813</v>
      </c>
      <c r="P254" s="175">
        <f ca="1">IF(M254&gt;0,N254*100/M254,0)</f>
        <v>66.482553191489359</v>
      </c>
    </row>
    <row r="255" spans="1:16" ht="21.75" customHeight="1" x14ac:dyDescent="0.35">
      <c r="A255" s="162"/>
      <c r="B255" s="163"/>
      <c r="C255" s="163"/>
      <c r="D255" s="170"/>
      <c r="E255" s="171"/>
      <c r="F255" s="171"/>
      <c r="G255" s="176" t="s">
        <v>41</v>
      </c>
      <c r="H255" s="165" t="s">
        <v>12</v>
      </c>
      <c r="I255" s="166"/>
      <c r="J255" s="166"/>
      <c r="K255" s="167"/>
      <c r="L255" s="173">
        <f ca="1">IFERROR(__xludf.DUMMYFUNCTION("IMPORTRANGE(""https://docs.google.com/spreadsheets/d/1Yj_ptqi66GCucihVvJfMjLAmec39IyEx_6qawtMGysU/edit?usp=sharing"",""สบก!BX88"")"),132000)</f>
        <v>132000</v>
      </c>
      <c r="M255" s="172"/>
      <c r="N255" s="172"/>
      <c r="O255" s="175"/>
      <c r="P255" s="175"/>
    </row>
    <row r="256" spans="1:16" ht="21.75" customHeight="1" x14ac:dyDescent="0.35">
      <c r="A256" s="162"/>
      <c r="B256" s="163"/>
      <c r="C256" s="163"/>
      <c r="D256" s="170"/>
      <c r="E256" s="171"/>
      <c r="F256" s="171"/>
      <c r="G256" s="176" t="s">
        <v>42</v>
      </c>
      <c r="H256" s="165" t="s">
        <v>12</v>
      </c>
      <c r="I256" s="166"/>
      <c r="J256" s="166"/>
      <c r="K256" s="167"/>
      <c r="L256" s="173">
        <f ca="1">IFERROR(__xludf.DUMMYFUNCTION("IMPORTRANGE(""https://docs.google.com/spreadsheets/d/1Yj_ptqi66GCucihVvJfMjLAmec39IyEx_6qawtMGysU/edit?usp=sharing"",""สบก!BY88"")"),71400)</f>
        <v>71400</v>
      </c>
      <c r="M256" s="172"/>
      <c r="N256" s="172"/>
      <c r="O256" s="175"/>
      <c r="P256" s="175"/>
    </row>
    <row r="257" spans="1:16" ht="21.75" customHeight="1" x14ac:dyDescent="0.45">
      <c r="A257" s="177"/>
      <c r="B257" s="81"/>
      <c r="C257" s="82" t="s">
        <v>16</v>
      </c>
      <c r="D257" s="529" t="s">
        <v>23</v>
      </c>
      <c r="E257" s="528"/>
      <c r="F257" s="89"/>
      <c r="G257" s="83" t="s">
        <v>18</v>
      </c>
      <c r="H257" s="178" t="s">
        <v>12</v>
      </c>
      <c r="I257" s="166"/>
      <c r="J257" s="166"/>
      <c r="K257" s="167"/>
      <c r="L257" s="93">
        <v>0</v>
      </c>
      <c r="M257" s="93"/>
      <c r="N257" s="42"/>
      <c r="O257" s="93"/>
      <c r="P257" s="93"/>
    </row>
    <row r="258" spans="1:16" ht="21.75" customHeight="1" x14ac:dyDescent="0.45">
      <c r="A258" s="179"/>
      <c r="B258" s="95"/>
      <c r="C258" s="95"/>
      <c r="D258" s="180"/>
      <c r="E258" s="96"/>
      <c r="F258" s="96"/>
      <c r="G258" s="97" t="s">
        <v>19</v>
      </c>
      <c r="H258" s="181" t="s">
        <v>12</v>
      </c>
      <c r="I258" s="166"/>
      <c r="J258" s="166"/>
      <c r="K258" s="167"/>
      <c r="L258" s="91">
        <f ca="1">IFERROR(__xludf.DUMMYFUNCTION("IMPORTRANGE(""https://docs.google.com/spreadsheets/d/1Yj_ptqi66GCucihVvJfMjLAmec39IyEx_6qawtMGysU/edit?usp=sharing"",""สบก!BZ88"")"),0)</f>
        <v>0</v>
      </c>
      <c r="M258" s="101"/>
      <c r="N258" s="91">
        <f ca="1">IFERROR(__xludf.DUMMYFUNCTION("IMPORTRANGE(""https://docs.google.com/spreadsheets/d/1Yj_ptqi66GCucihVvJfMjLAmec39IyEx_6qawtMGysU/edit?usp=sharing"",""สบก!CD88"")"),0)</f>
        <v>0</v>
      </c>
      <c r="O258" s="101">
        <f ca="1">IF(L258&gt;0,N258*100/L258,0)</f>
        <v>0</v>
      </c>
      <c r="P258" s="101"/>
    </row>
    <row r="259" spans="1:16" ht="21.75" customHeight="1" x14ac:dyDescent="0.35">
      <c r="A259" s="182"/>
      <c r="B259" s="183"/>
      <c r="C259" s="163" t="s">
        <v>16</v>
      </c>
      <c r="D259" s="184" t="s">
        <v>43</v>
      </c>
      <c r="E259" s="185"/>
      <c r="F259" s="185"/>
      <c r="G259" s="186"/>
      <c r="H259" s="187"/>
      <c r="I259" s="166"/>
      <c r="J259" s="166"/>
      <c r="K259" s="167"/>
      <c r="L259" s="188"/>
      <c r="M259" s="188"/>
      <c r="N259" s="188"/>
      <c r="O259" s="188"/>
      <c r="P259" s="188"/>
    </row>
    <row r="260" spans="1:16" ht="21.75" customHeight="1" x14ac:dyDescent="0.35">
      <c r="A260" s="182"/>
      <c r="B260" s="183"/>
      <c r="C260" s="183"/>
      <c r="D260" s="189">
        <v>1</v>
      </c>
      <c r="E260" s="190" t="s">
        <v>44</v>
      </c>
      <c r="F260" s="191"/>
      <c r="G260" s="192"/>
      <c r="H260" s="193"/>
      <c r="I260" s="194"/>
      <c r="J260" s="195">
        <f ca="1">IFERROR(__xludf.DUMMYFUNCTION("IMPORTRANGE(""https://docs.google.com/spreadsheets/d/1IYY_tgx_IHuhSq3AJ5eI5OnqOPBNLWSHKh2a30DoXe8/edit?usp=sharing"",""พัทลุง!J175"")"),0)</f>
        <v>0</v>
      </c>
      <c r="K260" s="167"/>
      <c r="L260" s="188"/>
      <c r="M260" s="188"/>
      <c r="N260" s="188"/>
      <c r="O260" s="188"/>
      <c r="P260" s="188"/>
    </row>
    <row r="261" spans="1:16" ht="21.75" customHeight="1" x14ac:dyDescent="0.35">
      <c r="A261" s="182"/>
      <c r="B261" s="183"/>
      <c r="C261" s="183"/>
      <c r="D261" s="196">
        <v>2</v>
      </c>
      <c r="E261" s="197" t="s">
        <v>45</v>
      </c>
      <c r="F261" s="198"/>
      <c r="G261" s="199"/>
      <c r="H261" s="193"/>
      <c r="I261" s="194"/>
      <c r="J261" s="204">
        <f ca="1">IFERROR(__xludf.DUMMYFUNCTION("IMPORTRANGE(""https://docs.google.com/spreadsheets/d/1IYY_tgx_IHuhSq3AJ5eI5OnqOPBNLWSHKh2a30DoXe8/edit?usp=sharing"",""พัทลุง!J176"")"),1)</f>
        <v>1</v>
      </c>
      <c r="K261" s="167"/>
      <c r="L261" s="188" t="s">
        <v>39</v>
      </c>
      <c r="M261" s="188"/>
      <c r="N261" s="188" t="s">
        <v>39</v>
      </c>
      <c r="O261" s="188"/>
      <c r="P261" s="188"/>
    </row>
    <row r="262" spans="1:16" ht="21.75" customHeight="1" x14ac:dyDescent="0.35">
      <c r="A262" s="182"/>
      <c r="B262" s="183"/>
      <c r="C262" s="183"/>
      <c r="D262" s="200"/>
      <c r="E262" s="201" t="s">
        <v>46</v>
      </c>
      <c r="F262" s="202"/>
      <c r="G262" s="203"/>
      <c r="H262" s="193"/>
      <c r="I262" s="194"/>
      <c r="J262" s="204">
        <f ca="1">IFERROR(__xludf.DUMMYFUNCTION("IMPORTRANGE(""https://docs.google.com/spreadsheets/d/1IYY_tgx_IHuhSq3AJ5eI5OnqOPBNLWSHKh2a30DoXe8/edit?usp=sharing"",""พัทลุง!J177"")"),1)</f>
        <v>1</v>
      </c>
      <c r="K262" s="167"/>
      <c r="L262" s="188"/>
      <c r="M262" s="188"/>
      <c r="N262" s="188"/>
      <c r="O262" s="188"/>
      <c r="P262" s="188"/>
    </row>
    <row r="263" spans="1:16" ht="21.75" customHeight="1" x14ac:dyDescent="0.35">
      <c r="A263" s="182"/>
      <c r="B263" s="183"/>
      <c r="C263" s="183"/>
      <c r="D263" s="200"/>
      <c r="E263" s="201" t="s">
        <v>47</v>
      </c>
      <c r="F263" s="202"/>
      <c r="G263" s="203"/>
      <c r="H263" s="193"/>
      <c r="I263" s="194"/>
      <c r="J263" s="204">
        <f ca="1">IFERROR(__xludf.DUMMYFUNCTION("IMPORTRANGE(""https://docs.google.com/spreadsheets/d/1IYY_tgx_IHuhSq3AJ5eI5OnqOPBNLWSHKh2a30DoXe8/edit?usp=sharing"",""พัทลุง!J178"")"),1)</f>
        <v>1</v>
      </c>
      <c r="K263" s="167"/>
      <c r="L263" s="188"/>
      <c r="M263" s="188"/>
      <c r="N263" s="188"/>
      <c r="O263" s="188"/>
      <c r="P263" s="188"/>
    </row>
    <row r="264" spans="1:16" ht="21.75" customHeight="1" x14ac:dyDescent="0.35">
      <c r="A264" s="182"/>
      <c r="B264" s="183"/>
      <c r="C264" s="183"/>
      <c r="D264" s="200"/>
      <c r="E264" s="205"/>
      <c r="F264" s="201" t="s">
        <v>105</v>
      </c>
      <c r="G264" s="203"/>
      <c r="H264" s="187" t="s">
        <v>58</v>
      </c>
      <c r="I264" s="194">
        <f ca="1">IFERROR(__xludf.DUMMYFUNCTION("IMPORTRANGE(""https://docs.google.com/spreadsheets/d/1IYY_tgx_IHuhSq3AJ5eI5OnqOPBNLWSHKh2a30DoXe8/edit?usp=sharing"",""พัทลุง!I179"")"),1)</f>
        <v>1</v>
      </c>
      <c r="J264" s="195">
        <f ca="1">IFERROR(__xludf.DUMMYFUNCTION("IMPORTRANGE(""https://docs.google.com/spreadsheets/d/1IYY_tgx_IHuhSq3AJ5eI5OnqOPBNLWSHKh2a30DoXe8/edit?usp=sharing"",""พัทลุง!J179"")"),1)</f>
        <v>1</v>
      </c>
      <c r="K264" s="167">
        <f t="shared" ref="K264:K267" ca="1" si="81">IF(I264&gt;0,J264*100/I264,0)</f>
        <v>100</v>
      </c>
      <c r="L264" s="188"/>
      <c r="M264" s="188"/>
      <c r="N264" s="188"/>
      <c r="O264" s="188"/>
      <c r="P264" s="188"/>
    </row>
    <row r="265" spans="1:16" ht="21.75" customHeight="1" x14ac:dyDescent="0.35">
      <c r="A265" s="182"/>
      <c r="B265" s="183"/>
      <c r="C265" s="183"/>
      <c r="D265" s="200"/>
      <c r="E265" s="205"/>
      <c r="F265" s="201" t="s">
        <v>106</v>
      </c>
      <c r="G265" s="203"/>
      <c r="H265" s="187" t="s">
        <v>37</v>
      </c>
      <c r="I265" s="194">
        <f ca="1">IFERROR(__xludf.DUMMYFUNCTION("IMPORTRANGE(""https://docs.google.com/spreadsheets/d/1IYY_tgx_IHuhSq3AJ5eI5OnqOPBNLWSHKh2a30DoXe8/edit?usp=sharing"",""พัทลุง!I180"")"),20)</f>
        <v>20</v>
      </c>
      <c r="J265" s="195">
        <f ca="1">IFERROR(__xludf.DUMMYFUNCTION("IMPORTRANGE(""https://docs.google.com/spreadsheets/d/1IYY_tgx_IHuhSq3AJ5eI5OnqOPBNLWSHKh2a30DoXe8/edit?usp=sharing"",""พัทลุง!J180"")"),20)</f>
        <v>20</v>
      </c>
      <c r="K265" s="167">
        <f t="shared" ca="1" si="81"/>
        <v>100</v>
      </c>
      <c r="L265" s="188"/>
      <c r="M265" s="188"/>
      <c r="N265" s="188"/>
      <c r="O265" s="188"/>
      <c r="P265" s="188"/>
    </row>
    <row r="266" spans="1:16" ht="21.75" customHeight="1" x14ac:dyDescent="0.35">
      <c r="A266" s="182"/>
      <c r="B266" s="183"/>
      <c r="C266" s="183"/>
      <c r="D266" s="200"/>
      <c r="E266" s="205"/>
      <c r="F266" s="201" t="s">
        <v>107</v>
      </c>
      <c r="G266" s="203"/>
      <c r="H266" s="187" t="s">
        <v>37</v>
      </c>
      <c r="I266" s="194">
        <f ca="1">IFERROR(__xludf.DUMMYFUNCTION("IMPORTRANGE(""https://docs.google.com/spreadsheets/d/1IYY_tgx_IHuhSq3AJ5eI5OnqOPBNLWSHKh2a30DoXe8/edit?usp=sharing"",""พัทลุง!I181"")"),20)</f>
        <v>20</v>
      </c>
      <c r="J266" s="195">
        <f ca="1">IFERROR(__xludf.DUMMYFUNCTION("IMPORTRANGE(""https://docs.google.com/spreadsheets/d/1IYY_tgx_IHuhSq3AJ5eI5OnqOPBNLWSHKh2a30DoXe8/edit?usp=sharing"",""พัทลุง!J181"")"),0)</f>
        <v>0</v>
      </c>
      <c r="K266" s="167">
        <f t="shared" ca="1" si="81"/>
        <v>0</v>
      </c>
      <c r="L266" s="188"/>
      <c r="M266" s="188"/>
      <c r="N266" s="188"/>
      <c r="O266" s="188"/>
      <c r="P266" s="188"/>
    </row>
    <row r="267" spans="1:16" ht="21.75" customHeight="1" x14ac:dyDescent="0.35">
      <c r="A267" s="182"/>
      <c r="B267" s="183"/>
      <c r="C267" s="183"/>
      <c r="D267" s="200"/>
      <c r="E267" s="205"/>
      <c r="F267" s="201" t="s">
        <v>108</v>
      </c>
      <c r="G267" s="203"/>
      <c r="H267" s="187" t="s">
        <v>37</v>
      </c>
      <c r="I267" s="194">
        <f ca="1">IFERROR(__xludf.DUMMYFUNCTION("IMPORTRANGE(""https://docs.google.com/spreadsheets/d/1IYY_tgx_IHuhSq3AJ5eI5OnqOPBNLWSHKh2a30DoXe8/edit?usp=sharing"",""พัทลุง!I182"")"),1)</f>
        <v>1</v>
      </c>
      <c r="J267" s="195">
        <f ca="1">IFERROR(__xludf.DUMMYFUNCTION("IMPORTRANGE(""https://docs.google.com/spreadsheets/d/1IYY_tgx_IHuhSq3AJ5eI5OnqOPBNLWSHKh2a30DoXe8/edit?usp=sharing"",""พัทลุง!J182"")"),1)</f>
        <v>1</v>
      </c>
      <c r="K267" s="167">
        <f t="shared" ca="1" si="81"/>
        <v>100</v>
      </c>
      <c r="L267" s="188"/>
      <c r="M267" s="188"/>
      <c r="N267" s="188"/>
      <c r="O267" s="188"/>
      <c r="P267" s="188"/>
    </row>
    <row r="268" spans="1:16" ht="21.75" customHeight="1" x14ac:dyDescent="0.35">
      <c r="A268" s="182"/>
      <c r="B268" s="183"/>
      <c r="C268" s="183"/>
      <c r="D268" s="200"/>
      <c r="E268" s="201" t="s">
        <v>53</v>
      </c>
      <c r="F268" s="202"/>
      <c r="G268" s="203"/>
      <c r="H268" s="193"/>
      <c r="I268" s="194"/>
      <c r="J268" s="204">
        <f ca="1">IFERROR(__xludf.DUMMYFUNCTION("IMPORTRANGE(""https://docs.google.com/spreadsheets/d/1IYY_tgx_IHuhSq3AJ5eI5OnqOPBNLWSHKh2a30DoXe8/edit?usp=sharing"",""พัทลุง!J183"")"),0)</f>
        <v>0</v>
      </c>
      <c r="K268" s="167"/>
      <c r="L268" s="188"/>
      <c r="M268" s="188"/>
      <c r="N268" s="188"/>
      <c r="O268" s="188"/>
      <c r="P268" s="188"/>
    </row>
    <row r="269" spans="1:16" ht="21.75" customHeight="1" x14ac:dyDescent="0.35">
      <c r="A269" s="240"/>
      <c r="B269" s="241"/>
      <c r="C269" s="241"/>
      <c r="D269" s="242">
        <v>3</v>
      </c>
      <c r="E269" s="243" t="s">
        <v>54</v>
      </c>
      <c r="F269" s="244"/>
      <c r="G269" s="245"/>
      <c r="H269" s="246"/>
      <c r="I269" s="247"/>
      <c r="J269" s="293">
        <f ca="1">IFERROR(__xludf.DUMMYFUNCTION("IMPORTRANGE(""https://docs.google.com/spreadsheets/d/1IYY_tgx_IHuhSq3AJ5eI5OnqOPBNLWSHKh2a30DoXe8/edit?usp=sharing"",""พัทลุง!J184"")"),0)</f>
        <v>0</v>
      </c>
      <c r="K269" s="294"/>
      <c r="L269" s="251"/>
      <c r="M269" s="251"/>
      <c r="N269" s="251"/>
      <c r="O269" s="251"/>
      <c r="P269" s="251"/>
    </row>
    <row r="270" spans="1:16" ht="21.75" customHeight="1" x14ac:dyDescent="0.35">
      <c r="A270" s="318"/>
      <c r="B270" s="319" t="s">
        <v>109</v>
      </c>
      <c r="C270" s="319"/>
      <c r="D270" s="319"/>
      <c r="E270" s="319"/>
      <c r="F270" s="319"/>
      <c r="G270" s="320"/>
      <c r="H270" s="321" t="s">
        <v>37</v>
      </c>
      <c r="I270" s="322">
        <f ca="1">IFERROR(__xludf.DUMMYFUNCTION("IMPORTRANGE(""https://docs.google.com/spreadsheets/d/1IYY_tgx_IHuhSq3AJ5eI5OnqOPBNLWSHKh2a30DoXe8/edit?usp=sharing"",""พัทลุง!I185"")"),0)</f>
        <v>0</v>
      </c>
      <c r="J270" s="322">
        <f ca="1">IFERROR(__xludf.DUMMYFUNCTION("IMPORTRANGE(""https://docs.google.com/spreadsheets/d/1IYY_tgx_IHuhSq3AJ5eI5OnqOPBNLWSHKh2a30DoXe8/edit?usp=sharing"",""พัทลุง!J185"")"),0)</f>
        <v>0</v>
      </c>
      <c r="K270" s="323">
        <f ca="1">IF(I270&gt;0,J270*100/I270,0)</f>
        <v>0</v>
      </c>
      <c r="L270" s="324"/>
      <c r="M270" s="324"/>
      <c r="N270" s="324"/>
      <c r="O270" s="323"/>
      <c r="P270" s="323"/>
    </row>
    <row r="271" spans="1:16" ht="21.75" customHeight="1" x14ac:dyDescent="0.45">
      <c r="A271" s="150"/>
      <c r="B271" s="151"/>
      <c r="C271" s="152" t="s">
        <v>16</v>
      </c>
      <c r="D271" s="530" t="s">
        <v>17</v>
      </c>
      <c r="E271" s="531"/>
      <c r="F271" s="531"/>
      <c r="G271" s="531"/>
      <c r="H271" s="153" t="s">
        <v>12</v>
      </c>
      <c r="I271" s="166"/>
      <c r="J271" s="166"/>
      <c r="K271" s="167"/>
      <c r="L271" s="156">
        <f t="shared" ref="L271:N271" ca="1" si="82">L272+L273</f>
        <v>0</v>
      </c>
      <c r="M271" s="156">
        <f t="shared" ca="1" si="82"/>
        <v>0</v>
      </c>
      <c r="N271" s="156">
        <f t="shared" ca="1" si="82"/>
        <v>0</v>
      </c>
      <c r="O271" s="155">
        <f t="shared" ref="O271:O273" ca="1" si="83">IF(L271&gt;0,N271*100/L271,0)</f>
        <v>0</v>
      </c>
      <c r="P271" s="155">
        <f t="shared" ref="P271:P273" ca="1" si="84">IF(M271&gt;0,N271*100/M271,0)</f>
        <v>0</v>
      </c>
    </row>
    <row r="272" spans="1:16" ht="21.75" customHeight="1" x14ac:dyDescent="0.45">
      <c r="A272" s="157"/>
      <c r="B272" s="32"/>
      <c r="C272" s="32"/>
      <c r="D272" s="32"/>
      <c r="E272" s="32"/>
      <c r="F272" s="32"/>
      <c r="G272" s="33" t="s">
        <v>18</v>
      </c>
      <c r="H272" s="158" t="s">
        <v>12</v>
      </c>
      <c r="I272" s="166"/>
      <c r="J272" s="166"/>
      <c r="K272" s="167"/>
      <c r="L272" s="161">
        <f t="shared" ref="L272:N272" si="85">L274+L278</f>
        <v>0</v>
      </c>
      <c r="M272" s="161">
        <f t="shared" si="85"/>
        <v>0</v>
      </c>
      <c r="N272" s="161">
        <f t="shared" si="85"/>
        <v>0</v>
      </c>
      <c r="O272" s="160">
        <f t="shared" si="83"/>
        <v>0</v>
      </c>
      <c r="P272" s="160">
        <f t="shared" si="84"/>
        <v>0</v>
      </c>
    </row>
    <row r="273" spans="1:16" ht="21.75" customHeight="1" x14ac:dyDescent="0.45">
      <c r="A273" s="157"/>
      <c r="B273" s="32"/>
      <c r="C273" s="32"/>
      <c r="D273" s="32"/>
      <c r="E273" s="32"/>
      <c r="F273" s="32"/>
      <c r="G273" s="33" t="s">
        <v>19</v>
      </c>
      <c r="H273" s="158" t="s">
        <v>12</v>
      </c>
      <c r="I273" s="166"/>
      <c r="J273" s="166"/>
      <c r="K273" s="167"/>
      <c r="L273" s="161">
        <f t="shared" ref="L273:N273" ca="1" si="86">L275+L279</f>
        <v>0</v>
      </c>
      <c r="M273" s="161">
        <f t="shared" ca="1" si="86"/>
        <v>0</v>
      </c>
      <c r="N273" s="161">
        <f t="shared" ca="1" si="86"/>
        <v>0</v>
      </c>
      <c r="O273" s="160">
        <f t="shared" ca="1" si="83"/>
        <v>0</v>
      </c>
      <c r="P273" s="160">
        <f t="shared" ca="1" si="84"/>
        <v>0</v>
      </c>
    </row>
    <row r="274" spans="1:16" ht="21.75" customHeight="1" x14ac:dyDescent="0.45">
      <c r="A274" s="162"/>
      <c r="B274" s="163"/>
      <c r="C274" s="163" t="s">
        <v>16</v>
      </c>
      <c r="D274" s="527" t="s">
        <v>20</v>
      </c>
      <c r="E274" s="528"/>
      <c r="F274" s="528"/>
      <c r="G274" s="164" t="s">
        <v>38</v>
      </c>
      <c r="H274" s="165" t="s">
        <v>12</v>
      </c>
      <c r="I274" s="166" t="s">
        <v>39</v>
      </c>
      <c r="J274" s="166"/>
      <c r="K274" s="167"/>
      <c r="L274" s="168">
        <v>0</v>
      </c>
      <c r="M274" s="168"/>
      <c r="N274" s="168">
        <v>0</v>
      </c>
      <c r="O274" s="169">
        <f>+IF(L274&gt;0,N274*100/L274,0)</f>
        <v>0</v>
      </c>
      <c r="P274" s="169"/>
    </row>
    <row r="275" spans="1:16" ht="21.75" customHeight="1" x14ac:dyDescent="0.35">
      <c r="A275" s="162"/>
      <c r="B275" s="163"/>
      <c r="C275" s="163"/>
      <c r="D275" s="170"/>
      <c r="E275" s="171"/>
      <c r="F275" s="171" t="s">
        <v>39</v>
      </c>
      <c r="G275" s="164" t="s">
        <v>40</v>
      </c>
      <c r="H275" s="165" t="s">
        <v>12</v>
      </c>
      <c r="I275" s="166"/>
      <c r="J275" s="166"/>
      <c r="K275" s="167"/>
      <c r="L275" s="172">
        <f ca="1">L276+L277</f>
        <v>0</v>
      </c>
      <c r="M275" s="173">
        <f ca="1">IFERROR(__xludf.DUMMYFUNCTION("IMPORTRANGE(""https://docs.google.com/spreadsheets/d/1Yj_ptqi66GCucihVvJfMjLAmec39IyEx_6qawtMGysU/edit?usp=sharing"",""สบก!CK88"")"),0)</f>
        <v>0</v>
      </c>
      <c r="N275" s="174">
        <f ca="1">IFERROR(__xludf.DUMMYFUNCTION("IMPORTRANGE(""https://docs.google.com/spreadsheets/d/1Yj_ptqi66GCucihVvJfMjLAmec39IyEx_6qawtMGysU/edit?usp=sharing"",""สบก!CL88"")"),0)</f>
        <v>0</v>
      </c>
      <c r="O275" s="175">
        <f ca="1">IF(L275&gt;0,N275*100/L275,0)</f>
        <v>0</v>
      </c>
      <c r="P275" s="175">
        <f ca="1">IF(M275&gt;0,N275*100/M275,0)</f>
        <v>0</v>
      </c>
    </row>
    <row r="276" spans="1:16" ht="21.75" customHeight="1" x14ac:dyDescent="0.35">
      <c r="A276" s="162"/>
      <c r="B276" s="163"/>
      <c r="C276" s="163"/>
      <c r="D276" s="170"/>
      <c r="E276" s="171"/>
      <c r="F276" s="171"/>
      <c r="G276" s="176" t="s">
        <v>41</v>
      </c>
      <c r="H276" s="165" t="s">
        <v>12</v>
      </c>
      <c r="I276" s="166"/>
      <c r="J276" s="166"/>
      <c r="K276" s="167"/>
      <c r="L276" s="173">
        <f ca="1">IFERROR(__xludf.DUMMYFUNCTION("IMPORTRANGE(""https://docs.google.com/spreadsheets/d/1Yj_ptqi66GCucihVvJfMjLAmec39IyEx_6qawtMGysU/edit?usp=sharing"",""สบก!CG88"")"),0)</f>
        <v>0</v>
      </c>
      <c r="M276" s="172"/>
      <c r="N276" s="172"/>
      <c r="O276" s="175"/>
      <c r="P276" s="175"/>
    </row>
    <row r="277" spans="1:16" ht="21.75" customHeight="1" x14ac:dyDescent="0.35">
      <c r="A277" s="162"/>
      <c r="B277" s="163"/>
      <c r="C277" s="163"/>
      <c r="D277" s="170"/>
      <c r="E277" s="171"/>
      <c r="F277" s="171"/>
      <c r="G277" s="176" t="s">
        <v>42</v>
      </c>
      <c r="H277" s="165" t="s">
        <v>12</v>
      </c>
      <c r="I277" s="166"/>
      <c r="J277" s="166"/>
      <c r="K277" s="167"/>
      <c r="L277" s="173">
        <f ca="1">IFERROR(__xludf.DUMMYFUNCTION("IMPORTRANGE(""https://docs.google.com/spreadsheets/d/1Yj_ptqi66GCucihVvJfMjLAmec39IyEx_6qawtMGysU/edit?usp=sharing"",""สบก!CH88"")"),0)</f>
        <v>0</v>
      </c>
      <c r="M277" s="172"/>
      <c r="N277" s="172"/>
      <c r="O277" s="175"/>
      <c r="P277" s="175"/>
    </row>
    <row r="278" spans="1:16" ht="21.75" customHeight="1" x14ac:dyDescent="0.45">
      <c r="A278" s="177"/>
      <c r="B278" s="81"/>
      <c r="C278" s="82" t="s">
        <v>16</v>
      </c>
      <c r="D278" s="529" t="s">
        <v>23</v>
      </c>
      <c r="E278" s="528"/>
      <c r="F278" s="89"/>
      <c r="G278" s="83" t="s">
        <v>18</v>
      </c>
      <c r="H278" s="178" t="s">
        <v>12</v>
      </c>
      <c r="I278" s="166"/>
      <c r="J278" s="166"/>
      <c r="K278" s="167"/>
      <c r="L278" s="93">
        <v>0</v>
      </c>
      <c r="M278" s="93"/>
      <c r="N278" s="42"/>
      <c r="O278" s="93"/>
      <c r="P278" s="93"/>
    </row>
    <row r="279" spans="1:16" ht="21.75" customHeight="1" x14ac:dyDescent="0.45">
      <c r="A279" s="179"/>
      <c r="B279" s="95"/>
      <c r="C279" s="95"/>
      <c r="D279" s="180"/>
      <c r="E279" s="96"/>
      <c r="F279" s="96"/>
      <c r="G279" s="97" t="s">
        <v>19</v>
      </c>
      <c r="H279" s="181" t="s">
        <v>12</v>
      </c>
      <c r="I279" s="166"/>
      <c r="J279" s="166"/>
      <c r="K279" s="167"/>
      <c r="L279" s="91">
        <f ca="1">IFERROR(__xludf.DUMMYFUNCTION("IMPORTRANGE(""https://docs.google.com/spreadsheets/d/1Yj_ptqi66GCucihVvJfMjLAmec39IyEx_6qawtMGysU/edit?usp=sharing"",""สบก!CI88"")"),0)</f>
        <v>0</v>
      </c>
      <c r="M279" s="101"/>
      <c r="N279" s="91">
        <f ca="1">IFERROR(__xludf.DUMMYFUNCTION("IMPORTRANGE(""https://docs.google.com/spreadsheets/d/1Yj_ptqi66GCucihVvJfMjLAmec39IyEx_6qawtMGysU/edit?usp=sharing"",""สบก!CM88"")"),0)</f>
        <v>0</v>
      </c>
      <c r="O279" s="101">
        <f ca="1">IF(L279&gt;0,N279*100/L279,0)</f>
        <v>0</v>
      </c>
      <c r="P279" s="101"/>
    </row>
    <row r="280" spans="1:16" ht="21.75" customHeight="1" x14ac:dyDescent="0.35">
      <c r="A280" s="182"/>
      <c r="B280" s="183"/>
      <c r="C280" s="163" t="s">
        <v>16</v>
      </c>
      <c r="D280" s="184" t="s">
        <v>43</v>
      </c>
      <c r="E280" s="185"/>
      <c r="F280" s="185"/>
      <c r="G280" s="186"/>
      <c r="H280" s="187"/>
      <c r="I280" s="166"/>
      <c r="J280" s="166"/>
      <c r="K280" s="167"/>
      <c r="L280" s="188"/>
      <c r="M280" s="188"/>
      <c r="N280" s="188"/>
      <c r="O280" s="188"/>
      <c r="P280" s="188"/>
    </row>
    <row r="281" spans="1:16" ht="21.75" customHeight="1" x14ac:dyDescent="0.35">
      <c r="A281" s="182"/>
      <c r="B281" s="183"/>
      <c r="C281" s="183"/>
      <c r="D281" s="189">
        <v>1</v>
      </c>
      <c r="E281" s="190" t="s">
        <v>44</v>
      </c>
      <c r="F281" s="191"/>
      <c r="G281" s="192"/>
      <c r="H281" s="193"/>
      <c r="I281" s="194"/>
      <c r="J281" s="195">
        <f ca="1">IFERROR(__xludf.DUMMYFUNCTION("IMPORTRANGE(""https://docs.google.com/spreadsheets/d/1IYY_tgx_IHuhSq3AJ5eI5OnqOPBNLWSHKh2a30DoXe8/edit?usp=sharing"",""พัทลุง!J191"")"),0)</f>
        <v>0</v>
      </c>
      <c r="K281" s="167"/>
      <c r="L281" s="188"/>
      <c r="M281" s="188"/>
      <c r="N281" s="188"/>
      <c r="O281" s="188"/>
      <c r="P281" s="188"/>
    </row>
    <row r="282" spans="1:16" ht="21.75" customHeight="1" x14ac:dyDescent="0.35">
      <c r="A282" s="182"/>
      <c r="B282" s="183"/>
      <c r="C282" s="183"/>
      <c r="D282" s="196">
        <v>2</v>
      </c>
      <c r="E282" s="197" t="s">
        <v>45</v>
      </c>
      <c r="F282" s="198"/>
      <c r="G282" s="199"/>
      <c r="H282" s="193"/>
      <c r="I282" s="194"/>
      <c r="J282" s="204">
        <f ca="1">IFERROR(__xludf.DUMMYFUNCTION("IMPORTRANGE(""https://docs.google.com/spreadsheets/d/1IYY_tgx_IHuhSq3AJ5eI5OnqOPBNLWSHKh2a30DoXe8/edit?usp=sharing"",""พัทลุง!J192"")"),0)</f>
        <v>0</v>
      </c>
      <c r="K282" s="167"/>
      <c r="L282" s="188"/>
      <c r="M282" s="188"/>
      <c r="N282" s="188"/>
      <c r="O282" s="188"/>
      <c r="P282" s="188"/>
    </row>
    <row r="283" spans="1:16" ht="21.75" customHeight="1" x14ac:dyDescent="0.35">
      <c r="A283" s="182"/>
      <c r="B283" s="183"/>
      <c r="C283" s="183"/>
      <c r="D283" s="200"/>
      <c r="E283" s="201" t="s">
        <v>46</v>
      </c>
      <c r="F283" s="202"/>
      <c r="G283" s="203"/>
      <c r="H283" s="193"/>
      <c r="I283" s="194"/>
      <c r="J283" s="204">
        <f ca="1">IFERROR(__xludf.DUMMYFUNCTION("IMPORTRANGE(""https://docs.google.com/spreadsheets/d/1IYY_tgx_IHuhSq3AJ5eI5OnqOPBNLWSHKh2a30DoXe8/edit?usp=sharing"",""พัทลุง!J193"")"),0)</f>
        <v>0</v>
      </c>
      <c r="K283" s="167"/>
      <c r="L283" s="188"/>
      <c r="M283" s="188"/>
      <c r="N283" s="188"/>
      <c r="O283" s="188"/>
      <c r="P283" s="188"/>
    </row>
    <row r="284" spans="1:16" ht="21.75" customHeight="1" x14ac:dyDescent="0.35">
      <c r="A284" s="182"/>
      <c r="B284" s="183"/>
      <c r="C284" s="183"/>
      <c r="D284" s="200"/>
      <c r="E284" s="201" t="s">
        <v>47</v>
      </c>
      <c r="F284" s="202"/>
      <c r="G284" s="203"/>
      <c r="H284" s="193"/>
      <c r="I284" s="194"/>
      <c r="J284" s="204">
        <f ca="1">IFERROR(__xludf.DUMMYFUNCTION("IMPORTRANGE(""https://docs.google.com/spreadsheets/d/1IYY_tgx_IHuhSq3AJ5eI5OnqOPBNLWSHKh2a30DoXe8/edit?usp=sharing"",""พัทลุง!J194"")"),0)</f>
        <v>0</v>
      </c>
      <c r="K284" s="167"/>
      <c r="L284" s="188"/>
      <c r="M284" s="188"/>
      <c r="N284" s="188"/>
      <c r="O284" s="188"/>
      <c r="P284" s="188"/>
    </row>
    <row r="285" spans="1:16" ht="21.75" customHeight="1" x14ac:dyDescent="0.35">
      <c r="A285" s="182"/>
      <c r="B285" s="183"/>
      <c r="C285" s="183"/>
      <c r="D285" s="200"/>
      <c r="E285" s="202"/>
      <c r="F285" s="201" t="s">
        <v>110</v>
      </c>
      <c r="G285" s="203"/>
      <c r="H285" s="193" t="s">
        <v>37</v>
      </c>
      <c r="I285" s="194">
        <f ca="1">IFERROR(__xludf.DUMMYFUNCTION("IMPORTRANGE(""https://docs.google.com/spreadsheets/d/1IYY_tgx_IHuhSq3AJ5eI5OnqOPBNLWSHKh2a30DoXe8/edit?usp=sharing"",""พัทลุง!I195"")"),0)</f>
        <v>0</v>
      </c>
      <c r="J285" s="195">
        <f ca="1">IFERROR(__xludf.DUMMYFUNCTION("IMPORTRANGE(""https://docs.google.com/spreadsheets/d/1IYY_tgx_IHuhSq3AJ5eI5OnqOPBNLWSHKh2a30DoXe8/edit?usp=sharing"",""พัทลุง!J195"")"),0)</f>
        <v>0</v>
      </c>
      <c r="K285" s="167">
        <f ca="1">IF(I285&gt;0,J285*100/I285,0)</f>
        <v>0</v>
      </c>
      <c r="L285" s="188"/>
      <c r="M285" s="188"/>
      <c r="N285" s="188"/>
      <c r="O285" s="188"/>
      <c r="P285" s="188"/>
    </row>
    <row r="286" spans="1:16" ht="21.75" customHeight="1" x14ac:dyDescent="0.35">
      <c r="A286" s="182"/>
      <c r="B286" s="183"/>
      <c r="C286" s="183"/>
      <c r="D286" s="200"/>
      <c r="E286" s="201" t="s">
        <v>53</v>
      </c>
      <c r="F286" s="202"/>
      <c r="G286" s="203"/>
      <c r="H286" s="193"/>
      <c r="I286" s="194"/>
      <c r="J286" s="204">
        <f ca="1">IFERROR(__xludf.DUMMYFUNCTION("IMPORTRANGE(""https://docs.google.com/spreadsheets/d/1IYY_tgx_IHuhSq3AJ5eI5OnqOPBNLWSHKh2a30DoXe8/edit?usp=sharing"",""พัทลุง!J196"")"),0)</f>
        <v>0</v>
      </c>
      <c r="K286" s="167"/>
      <c r="L286" s="188"/>
      <c r="M286" s="188"/>
      <c r="N286" s="188"/>
      <c r="O286" s="188"/>
      <c r="P286" s="188"/>
    </row>
    <row r="287" spans="1:16" ht="21.75" customHeight="1" x14ac:dyDescent="0.35">
      <c r="A287" s="182"/>
      <c r="B287" s="183"/>
      <c r="C287" s="183"/>
      <c r="D287" s="212">
        <v>3</v>
      </c>
      <c r="E287" s="213" t="s">
        <v>54</v>
      </c>
      <c r="F287" s="214"/>
      <c r="G287" s="215"/>
      <c r="H287" s="193"/>
      <c r="I287" s="194"/>
      <c r="J287" s="216">
        <f ca="1">IFERROR(__xludf.DUMMYFUNCTION("IMPORTRANGE(""https://docs.google.com/spreadsheets/d/1IYY_tgx_IHuhSq3AJ5eI5OnqOPBNLWSHKh2a30DoXe8/edit?usp=sharing"",""พัทลุง!J197"")"),0)</f>
        <v>0</v>
      </c>
      <c r="K287" s="167"/>
      <c r="L287" s="188"/>
      <c r="M287" s="188"/>
      <c r="N287" s="188"/>
      <c r="O287" s="188"/>
      <c r="P287" s="188"/>
    </row>
    <row r="288" spans="1:16" ht="21.75" customHeight="1" x14ac:dyDescent="0.35">
      <c r="A288" s="310" t="s">
        <v>111</v>
      </c>
      <c r="B288" s="311"/>
      <c r="C288" s="311"/>
      <c r="D288" s="312"/>
      <c r="E288" s="311"/>
      <c r="F288" s="311"/>
      <c r="G288" s="325"/>
      <c r="H288" s="326"/>
      <c r="I288" s="327"/>
      <c r="J288" s="327"/>
      <c r="K288" s="328"/>
      <c r="L288" s="328"/>
      <c r="M288" s="328"/>
      <c r="N288" s="328"/>
      <c r="O288" s="317"/>
      <c r="P288" s="317"/>
    </row>
    <row r="289" spans="1:16" ht="21.75" customHeight="1" x14ac:dyDescent="0.35">
      <c r="A289" s="329"/>
      <c r="B289" s="319" t="s">
        <v>112</v>
      </c>
      <c r="C289" s="330"/>
      <c r="D289" s="331"/>
      <c r="E289" s="319"/>
      <c r="F289" s="319"/>
      <c r="G289" s="320"/>
      <c r="H289" s="321" t="s">
        <v>37</v>
      </c>
      <c r="I289" s="322">
        <f ca="1">IFERROR(__xludf.DUMMYFUNCTION("IMPORTRANGE(""https://docs.google.com/spreadsheets/d/1IYY_tgx_IHuhSq3AJ5eI5OnqOPBNLWSHKh2a30DoXe8/edit?usp=sharing"",""พัทลุง!I199"")"),0)</f>
        <v>0</v>
      </c>
      <c r="J289" s="322">
        <f ca="1">IFERROR(__xludf.DUMMYFUNCTION("IMPORTRANGE(""https://docs.google.com/spreadsheets/d/1IYY_tgx_IHuhSq3AJ5eI5OnqOPBNLWSHKh2a30DoXe8/edit?usp=sharing"",""พัทลุง!J199"")"),0)</f>
        <v>0</v>
      </c>
      <c r="K289" s="323">
        <f ca="1">IF(I289&gt;0,J289*100/I289,0)</f>
        <v>0</v>
      </c>
      <c r="L289" s="324"/>
      <c r="M289" s="324"/>
      <c r="N289" s="324"/>
      <c r="O289" s="323"/>
      <c r="P289" s="323"/>
    </row>
    <row r="290" spans="1:16" ht="21.75" customHeight="1" x14ac:dyDescent="0.45">
      <c r="A290" s="150"/>
      <c r="B290" s="151"/>
      <c r="C290" s="152" t="s">
        <v>16</v>
      </c>
      <c r="D290" s="530" t="s">
        <v>17</v>
      </c>
      <c r="E290" s="531"/>
      <c r="F290" s="531"/>
      <c r="G290" s="531"/>
      <c r="H290" s="153" t="s">
        <v>12</v>
      </c>
      <c r="I290" s="194"/>
      <c r="J290" s="194"/>
      <c r="K290" s="230"/>
      <c r="L290" s="156">
        <f t="shared" ref="L290:N290" ca="1" si="87">L291+L292</f>
        <v>0</v>
      </c>
      <c r="M290" s="156">
        <f t="shared" ca="1" si="87"/>
        <v>0</v>
      </c>
      <c r="N290" s="156">
        <f t="shared" ca="1" si="87"/>
        <v>0</v>
      </c>
      <c r="O290" s="155">
        <f t="shared" ref="O290:O292" ca="1" si="88">IF(L290&gt;0,N290*100/L290,0)</f>
        <v>0</v>
      </c>
      <c r="P290" s="155">
        <f t="shared" ref="P290:P292" ca="1" si="89">IF(M290&gt;0,N290*100/M290,0)</f>
        <v>0</v>
      </c>
    </row>
    <row r="291" spans="1:16" ht="21.75" customHeight="1" x14ac:dyDescent="0.45">
      <c r="A291" s="157"/>
      <c r="B291" s="32"/>
      <c r="C291" s="32"/>
      <c r="D291" s="32"/>
      <c r="E291" s="32"/>
      <c r="F291" s="32"/>
      <c r="G291" s="33" t="s">
        <v>18</v>
      </c>
      <c r="H291" s="158" t="s">
        <v>12</v>
      </c>
      <c r="I291" s="194"/>
      <c r="J291" s="194"/>
      <c r="K291" s="230"/>
      <c r="L291" s="161">
        <f t="shared" ref="L291:N291" si="90">L293+L297</f>
        <v>0</v>
      </c>
      <c r="M291" s="161">
        <f t="shared" si="90"/>
        <v>0</v>
      </c>
      <c r="N291" s="161">
        <f t="shared" si="90"/>
        <v>0</v>
      </c>
      <c r="O291" s="160">
        <f t="shared" si="88"/>
        <v>0</v>
      </c>
      <c r="P291" s="160">
        <f t="shared" si="89"/>
        <v>0</v>
      </c>
    </row>
    <row r="292" spans="1:16" ht="21.75" customHeight="1" x14ac:dyDescent="0.45">
      <c r="A292" s="157"/>
      <c r="B292" s="32"/>
      <c r="C292" s="32"/>
      <c r="D292" s="32"/>
      <c r="E292" s="32"/>
      <c r="F292" s="32"/>
      <c r="G292" s="33" t="s">
        <v>19</v>
      </c>
      <c r="H292" s="158" t="s">
        <v>12</v>
      </c>
      <c r="I292" s="194"/>
      <c r="J292" s="194"/>
      <c r="K292" s="230"/>
      <c r="L292" s="161">
        <f t="shared" ref="L292:N292" ca="1" si="91">L294+L298</f>
        <v>0</v>
      </c>
      <c r="M292" s="161">
        <f t="shared" ca="1" si="91"/>
        <v>0</v>
      </c>
      <c r="N292" s="161">
        <f t="shared" ca="1" si="91"/>
        <v>0</v>
      </c>
      <c r="O292" s="160">
        <f t="shared" ca="1" si="88"/>
        <v>0</v>
      </c>
      <c r="P292" s="160">
        <f t="shared" ca="1" si="89"/>
        <v>0</v>
      </c>
    </row>
    <row r="293" spans="1:16" ht="21.75" customHeight="1" x14ac:dyDescent="0.45">
      <c r="A293" s="162"/>
      <c r="B293" s="163"/>
      <c r="C293" s="163" t="s">
        <v>16</v>
      </c>
      <c r="D293" s="527" t="s">
        <v>20</v>
      </c>
      <c r="E293" s="528"/>
      <c r="F293" s="528"/>
      <c r="G293" s="164" t="s">
        <v>38</v>
      </c>
      <c r="H293" s="165" t="s">
        <v>12</v>
      </c>
      <c r="I293" s="194" t="s">
        <v>39</v>
      </c>
      <c r="J293" s="194"/>
      <c r="K293" s="230"/>
      <c r="L293" s="168">
        <v>0</v>
      </c>
      <c r="M293" s="168"/>
      <c r="N293" s="168">
        <v>0</v>
      </c>
      <c r="O293" s="169">
        <f>+IF(L293&gt;0,N293*100/L293,0)</f>
        <v>0</v>
      </c>
      <c r="P293" s="169"/>
    </row>
    <row r="294" spans="1:16" ht="21.75" customHeight="1" x14ac:dyDescent="0.35">
      <c r="A294" s="162"/>
      <c r="B294" s="163"/>
      <c r="C294" s="163"/>
      <c r="D294" s="170"/>
      <c r="E294" s="171"/>
      <c r="F294" s="171" t="s">
        <v>39</v>
      </c>
      <c r="G294" s="164" t="s">
        <v>40</v>
      </c>
      <c r="H294" s="165" t="s">
        <v>12</v>
      </c>
      <c r="I294" s="194"/>
      <c r="J294" s="194"/>
      <c r="K294" s="230"/>
      <c r="L294" s="172">
        <f ca="1">L295+L296</f>
        <v>0</v>
      </c>
      <c r="M294" s="173">
        <f ca="1">IFERROR(__xludf.DUMMYFUNCTION("IMPORTRANGE(""https://docs.google.com/spreadsheets/d/1Yj_ptqi66GCucihVvJfMjLAmec39IyEx_6qawtMGysU/edit?usp=sharing"",""สบก!CT88"")"),0)</f>
        <v>0</v>
      </c>
      <c r="N294" s="174">
        <f ca="1">IFERROR(__xludf.DUMMYFUNCTION("IMPORTRANGE(""https://docs.google.com/spreadsheets/d/1Yj_ptqi66GCucihVvJfMjLAmec39IyEx_6qawtMGysU/edit?usp=sharing"",""สบก!CU88"")"),0)</f>
        <v>0</v>
      </c>
      <c r="O294" s="175">
        <f ca="1">IF(L294&gt;0,N294*100/L294,0)</f>
        <v>0</v>
      </c>
      <c r="P294" s="175">
        <f ca="1">IF(M294&gt;0,N294*100/M294,0)</f>
        <v>0</v>
      </c>
    </row>
    <row r="295" spans="1:16" ht="21.75" customHeight="1" x14ac:dyDescent="0.35">
      <c r="A295" s="162"/>
      <c r="B295" s="163"/>
      <c r="C295" s="163"/>
      <c r="D295" s="170"/>
      <c r="E295" s="171"/>
      <c r="F295" s="171"/>
      <c r="G295" s="176" t="s">
        <v>41</v>
      </c>
      <c r="H295" s="165" t="s">
        <v>12</v>
      </c>
      <c r="I295" s="194"/>
      <c r="J295" s="194"/>
      <c r="K295" s="230"/>
      <c r="L295" s="173">
        <f ca="1">IFERROR(__xludf.DUMMYFUNCTION("IMPORTRANGE(""https://docs.google.com/spreadsheets/d/1Yj_ptqi66GCucihVvJfMjLAmec39IyEx_6qawtMGysU/edit?usp=sharing"",""สบก!CP88"")"),0)</f>
        <v>0</v>
      </c>
      <c r="M295" s="172"/>
      <c r="N295" s="172"/>
      <c r="O295" s="175"/>
      <c r="P295" s="175"/>
    </row>
    <row r="296" spans="1:16" ht="21.75" customHeight="1" x14ac:dyDescent="0.35">
      <c r="A296" s="162"/>
      <c r="B296" s="163"/>
      <c r="C296" s="163"/>
      <c r="D296" s="170"/>
      <c r="E296" s="171"/>
      <c r="F296" s="171"/>
      <c r="G296" s="176" t="s">
        <v>42</v>
      </c>
      <c r="H296" s="165" t="s">
        <v>12</v>
      </c>
      <c r="I296" s="194"/>
      <c r="J296" s="194"/>
      <c r="K296" s="230"/>
      <c r="L296" s="173">
        <f ca="1">IFERROR(__xludf.DUMMYFUNCTION("IMPORTRANGE(""https://docs.google.com/spreadsheets/d/1Yj_ptqi66GCucihVvJfMjLAmec39IyEx_6qawtMGysU/edit?usp=sharing"",""สบก!CQ88"")"),0)</f>
        <v>0</v>
      </c>
      <c r="M296" s="172"/>
      <c r="N296" s="172"/>
      <c r="O296" s="175"/>
      <c r="P296" s="175"/>
    </row>
    <row r="297" spans="1:16" ht="21.75" customHeight="1" x14ac:dyDescent="0.45">
      <c r="A297" s="177"/>
      <c r="B297" s="81"/>
      <c r="C297" s="82" t="s">
        <v>16</v>
      </c>
      <c r="D297" s="529" t="s">
        <v>23</v>
      </c>
      <c r="E297" s="528"/>
      <c r="F297" s="89"/>
      <c r="G297" s="83" t="s">
        <v>18</v>
      </c>
      <c r="H297" s="178" t="s">
        <v>12</v>
      </c>
      <c r="I297" s="194"/>
      <c r="J297" s="194"/>
      <c r="K297" s="230"/>
      <c r="L297" s="93">
        <v>0</v>
      </c>
      <c r="M297" s="93"/>
      <c r="N297" s="42"/>
      <c r="O297" s="93"/>
      <c r="P297" s="93"/>
    </row>
    <row r="298" spans="1:16" ht="21.75" customHeight="1" x14ac:dyDescent="0.45">
      <c r="A298" s="179"/>
      <c r="B298" s="95"/>
      <c r="C298" s="95"/>
      <c r="D298" s="180"/>
      <c r="E298" s="96"/>
      <c r="F298" s="96"/>
      <c r="G298" s="97" t="s">
        <v>19</v>
      </c>
      <c r="H298" s="181" t="s">
        <v>12</v>
      </c>
      <c r="I298" s="194"/>
      <c r="J298" s="194"/>
      <c r="K298" s="230"/>
      <c r="L298" s="91">
        <f ca="1">IFERROR(__xludf.DUMMYFUNCTION("IMPORTRANGE(""https://docs.google.com/spreadsheets/d/1Yj_ptqi66GCucihVvJfMjLAmec39IyEx_6qawtMGysU/edit?usp=sharing"",""สบก!CR88"")"),0)</f>
        <v>0</v>
      </c>
      <c r="M298" s="101"/>
      <c r="N298" s="91">
        <f ca="1">IFERROR(__xludf.DUMMYFUNCTION("IMPORTRANGE(""https://docs.google.com/spreadsheets/d/1Yj_ptqi66GCucihVvJfMjLAmec39IyEx_6qawtMGysU/edit?usp=sharing"",""สบก!CV88"")"),0)</f>
        <v>0</v>
      </c>
      <c r="O298" s="101">
        <f ca="1">IF(L298&gt;0,N298*100/L298,0)</f>
        <v>0</v>
      </c>
      <c r="P298" s="101"/>
    </row>
    <row r="299" spans="1:16" ht="21.75" customHeight="1" x14ac:dyDescent="0.35">
      <c r="A299" s="182"/>
      <c r="B299" s="183"/>
      <c r="C299" s="163" t="s">
        <v>16</v>
      </c>
      <c r="D299" s="184" t="s">
        <v>43</v>
      </c>
      <c r="E299" s="185"/>
      <c r="F299" s="185"/>
      <c r="G299" s="186"/>
      <c r="H299" s="187"/>
      <c r="I299" s="194"/>
      <c r="J299" s="194"/>
      <c r="K299" s="230"/>
      <c r="L299" s="175"/>
      <c r="M299" s="175"/>
      <c r="N299" s="175"/>
      <c r="O299" s="188"/>
      <c r="P299" s="188"/>
    </row>
    <row r="300" spans="1:16" ht="21.75" customHeight="1" x14ac:dyDescent="0.35">
      <c r="A300" s="182"/>
      <c r="B300" s="183"/>
      <c r="C300" s="183"/>
      <c r="D300" s="189">
        <v>1</v>
      </c>
      <c r="E300" s="190" t="s">
        <v>44</v>
      </c>
      <c r="F300" s="191"/>
      <c r="G300" s="192"/>
      <c r="H300" s="193"/>
      <c r="I300" s="194"/>
      <c r="J300" s="194">
        <f ca="1">IFERROR(__xludf.DUMMYFUNCTION("IMPORTRANGE(""https://docs.google.com/spreadsheets/d/1IYY_tgx_IHuhSq3AJ5eI5OnqOPBNLWSHKh2a30DoXe8/edit?usp=sharing"",""พัทลุง!J205"")"),0)</f>
        <v>0</v>
      </c>
      <c r="K300" s="230"/>
      <c r="L300" s="175"/>
      <c r="M300" s="175"/>
      <c r="N300" s="175"/>
      <c r="O300" s="188"/>
      <c r="P300" s="188"/>
    </row>
    <row r="301" spans="1:16" ht="21.75" customHeight="1" x14ac:dyDescent="0.35">
      <c r="A301" s="182"/>
      <c r="B301" s="183"/>
      <c r="C301" s="183"/>
      <c r="D301" s="196">
        <v>2</v>
      </c>
      <c r="E301" s="197" t="s">
        <v>45</v>
      </c>
      <c r="F301" s="198"/>
      <c r="G301" s="199"/>
      <c r="H301" s="193"/>
      <c r="I301" s="194"/>
      <c r="J301" s="194">
        <f ca="1">IFERROR(__xludf.DUMMYFUNCTION("IMPORTRANGE(""https://docs.google.com/spreadsheets/d/1IYY_tgx_IHuhSq3AJ5eI5OnqOPBNLWSHKh2a30DoXe8/edit?usp=sharing"",""พัทลุง!J206"")"),0)</f>
        <v>0</v>
      </c>
      <c r="K301" s="230"/>
      <c r="L301" s="175" t="s">
        <v>39</v>
      </c>
      <c r="M301" s="175"/>
      <c r="N301" s="175" t="s">
        <v>39</v>
      </c>
      <c r="O301" s="188"/>
      <c r="P301" s="188"/>
    </row>
    <row r="302" spans="1:16" ht="21.75" customHeight="1" x14ac:dyDescent="0.35">
      <c r="A302" s="182"/>
      <c r="B302" s="183"/>
      <c r="C302" s="183"/>
      <c r="D302" s="200"/>
      <c r="E302" s="201" t="s">
        <v>46</v>
      </c>
      <c r="F302" s="202"/>
      <c r="G302" s="203"/>
      <c r="H302" s="193"/>
      <c r="I302" s="194"/>
      <c r="J302" s="194">
        <f ca="1">IFERROR(__xludf.DUMMYFUNCTION("IMPORTRANGE(""https://docs.google.com/spreadsheets/d/1IYY_tgx_IHuhSq3AJ5eI5OnqOPBNLWSHKh2a30DoXe8/edit?usp=sharing"",""พัทลุง!J207"")"),0)</f>
        <v>0</v>
      </c>
      <c r="K302" s="230"/>
      <c r="L302" s="175"/>
      <c r="M302" s="175"/>
      <c r="N302" s="175"/>
      <c r="O302" s="188"/>
      <c r="P302" s="188"/>
    </row>
    <row r="303" spans="1:16" ht="21.75" customHeight="1" x14ac:dyDescent="0.35">
      <c r="A303" s="182"/>
      <c r="B303" s="183"/>
      <c r="C303" s="183"/>
      <c r="D303" s="200"/>
      <c r="E303" s="201" t="s">
        <v>47</v>
      </c>
      <c r="F303" s="202"/>
      <c r="G303" s="203"/>
      <c r="H303" s="193"/>
      <c r="I303" s="194"/>
      <c r="J303" s="194">
        <f ca="1">IFERROR(__xludf.DUMMYFUNCTION("IMPORTRANGE(""https://docs.google.com/spreadsheets/d/1IYY_tgx_IHuhSq3AJ5eI5OnqOPBNLWSHKh2a30DoXe8/edit?usp=sharing"",""พัทลุง!J208"")"),0)</f>
        <v>0</v>
      </c>
      <c r="K303" s="230"/>
      <c r="L303" s="175"/>
      <c r="M303" s="175"/>
      <c r="N303" s="175"/>
      <c r="O303" s="188"/>
      <c r="P303" s="188"/>
    </row>
    <row r="304" spans="1:16" ht="21.75" customHeight="1" x14ac:dyDescent="0.35">
      <c r="A304" s="182"/>
      <c r="B304" s="183"/>
      <c r="C304" s="183"/>
      <c r="D304" s="200"/>
      <c r="E304" s="205"/>
      <c r="F304" s="201" t="s">
        <v>113</v>
      </c>
      <c r="G304" s="203"/>
      <c r="H304" s="187" t="s">
        <v>37</v>
      </c>
      <c r="I304" s="194">
        <f ca="1">IFERROR(__xludf.DUMMYFUNCTION("IMPORTRANGE(""https://docs.google.com/spreadsheets/d/1IYY_tgx_IHuhSq3AJ5eI5OnqOPBNLWSHKh2a30DoXe8/edit?usp=sharing"",""พัทลุง!I209"")"),0)</f>
        <v>0</v>
      </c>
      <c r="J304" s="210">
        <f ca="1">IFERROR(__xludf.DUMMYFUNCTION("IMPORTRANGE(""https://docs.google.com/spreadsheets/d/1IYY_tgx_IHuhSq3AJ5eI5OnqOPBNLWSHKh2a30DoXe8/edit?usp=sharing"",""พัทลุง!J209"")"),0)</f>
        <v>0</v>
      </c>
      <c r="K304" s="230">
        <f ca="1">IF(I304&gt;0,J304*100/I304,0)</f>
        <v>0</v>
      </c>
      <c r="L304" s="175"/>
      <c r="M304" s="175"/>
      <c r="N304" s="175"/>
      <c r="O304" s="188"/>
      <c r="P304" s="188"/>
    </row>
    <row r="305" spans="1:16" ht="21.75" customHeight="1" x14ac:dyDescent="0.35">
      <c r="A305" s="182"/>
      <c r="B305" s="183"/>
      <c r="C305" s="183"/>
      <c r="D305" s="200"/>
      <c r="E305" s="205"/>
      <c r="F305" s="201" t="s">
        <v>114</v>
      </c>
      <c r="G305" s="203"/>
      <c r="H305" s="187"/>
      <c r="I305" s="194"/>
      <c r="J305" s="194"/>
      <c r="K305" s="230"/>
      <c r="L305" s="175"/>
      <c r="M305" s="175"/>
      <c r="N305" s="175"/>
      <c r="O305" s="188"/>
      <c r="P305" s="188"/>
    </row>
    <row r="306" spans="1:16" ht="21.75" customHeight="1" x14ac:dyDescent="0.35">
      <c r="A306" s="182"/>
      <c r="B306" s="183"/>
      <c r="C306" s="183"/>
      <c r="D306" s="200"/>
      <c r="E306" s="205"/>
      <c r="F306" s="202" t="s">
        <v>52</v>
      </c>
      <c r="G306" s="203"/>
      <c r="H306" s="187" t="s">
        <v>37</v>
      </c>
      <c r="I306" s="194">
        <f ca="1">IFERROR(__xludf.DUMMYFUNCTION("IMPORTRANGE(""https://docs.google.com/spreadsheets/d/1IYY_tgx_IHuhSq3AJ5eI5OnqOPBNLWSHKh2a30DoXe8/edit?usp=sharing"",""พัทลุง!I211"")"),0)</f>
        <v>0</v>
      </c>
      <c r="J306" s="210">
        <f ca="1">IFERROR(__xludf.DUMMYFUNCTION("IMPORTRANGE(""https://docs.google.com/spreadsheets/d/1IYY_tgx_IHuhSq3AJ5eI5OnqOPBNLWSHKh2a30DoXe8/edit?usp=sharing"",""พัทลุง!J211"")"),0)</f>
        <v>0</v>
      </c>
      <c r="K306" s="230">
        <f ca="1">IF(I306&gt;0,J306*100/I306,0)</f>
        <v>0</v>
      </c>
      <c r="L306" s="175"/>
      <c r="M306" s="175"/>
      <c r="N306" s="175"/>
      <c r="O306" s="188"/>
      <c r="P306" s="188"/>
    </row>
    <row r="307" spans="1:16" ht="21.75" customHeight="1" x14ac:dyDescent="0.35">
      <c r="A307" s="182"/>
      <c r="B307" s="183"/>
      <c r="C307" s="183"/>
      <c r="D307" s="200"/>
      <c r="E307" s="201" t="s">
        <v>53</v>
      </c>
      <c r="F307" s="202"/>
      <c r="G307" s="203"/>
      <c r="H307" s="193"/>
      <c r="I307" s="194"/>
      <c r="J307" s="194">
        <f ca="1">IFERROR(__xludf.DUMMYFUNCTION("IMPORTRANGE(""https://docs.google.com/spreadsheets/d/1IYY_tgx_IHuhSq3AJ5eI5OnqOPBNLWSHKh2a30DoXe8/edit?usp=sharing"",""พัทลุง!J212"")"),0)</f>
        <v>0</v>
      </c>
      <c r="K307" s="230"/>
      <c r="L307" s="175"/>
      <c r="M307" s="175"/>
      <c r="N307" s="175"/>
      <c r="O307" s="188"/>
      <c r="P307" s="188"/>
    </row>
    <row r="308" spans="1:16" ht="21.75" customHeight="1" x14ac:dyDescent="0.35">
      <c r="A308" s="182"/>
      <c r="B308" s="183"/>
      <c r="C308" s="183"/>
      <c r="D308" s="212">
        <v>3</v>
      </c>
      <c r="E308" s="213" t="s">
        <v>54</v>
      </c>
      <c r="F308" s="214"/>
      <c r="G308" s="215"/>
      <c r="H308" s="193"/>
      <c r="I308" s="194"/>
      <c r="J308" s="332">
        <f ca="1">IFERROR(__xludf.DUMMYFUNCTION("IMPORTRANGE(""https://docs.google.com/spreadsheets/d/1IYY_tgx_IHuhSq3AJ5eI5OnqOPBNLWSHKh2a30DoXe8/edit?usp=sharing"",""พัทลุง!J213"")"),0)</f>
        <v>0</v>
      </c>
      <c r="K308" s="230"/>
      <c r="L308" s="175"/>
      <c r="M308" s="175"/>
      <c r="N308" s="175"/>
      <c r="O308" s="188"/>
      <c r="P308" s="188"/>
    </row>
    <row r="309" spans="1:16" ht="21.75" customHeight="1" x14ac:dyDescent="0.35">
      <c r="A309" s="333"/>
      <c r="B309" s="334" t="s">
        <v>115</v>
      </c>
      <c r="C309" s="335"/>
      <c r="D309" s="336"/>
      <c r="E309" s="334"/>
      <c r="F309" s="334"/>
      <c r="G309" s="337"/>
      <c r="H309" s="338" t="s">
        <v>116</v>
      </c>
      <c r="I309" s="339">
        <f ca="1">IFERROR(__xludf.DUMMYFUNCTION("IMPORTRANGE(""https://docs.google.com/spreadsheets/d/1IYY_tgx_IHuhSq3AJ5eI5OnqOPBNLWSHKh2a30DoXe8/edit?usp=sharing"",""พัทลุง!I214"")"),0)</f>
        <v>0</v>
      </c>
      <c r="J309" s="339">
        <f ca="1">IFERROR(__xludf.DUMMYFUNCTION("IMPORTRANGE(""https://docs.google.com/spreadsheets/d/1IYY_tgx_IHuhSq3AJ5eI5OnqOPBNLWSHKh2a30DoXe8/edit?usp=sharing"",""พัทลุง!J214"")"),0)</f>
        <v>0</v>
      </c>
      <c r="K309" s="340">
        <f ca="1">IF(I309&gt;0,J309*100/I309,0)</f>
        <v>0</v>
      </c>
      <c r="L309" s="341"/>
      <c r="M309" s="341"/>
      <c r="N309" s="341"/>
      <c r="O309" s="340"/>
      <c r="P309" s="340"/>
    </row>
    <row r="310" spans="1:16" ht="21.75" customHeight="1" x14ac:dyDescent="0.45">
      <c r="A310" s="150"/>
      <c r="B310" s="151"/>
      <c r="C310" s="152" t="s">
        <v>16</v>
      </c>
      <c r="D310" s="530" t="s">
        <v>17</v>
      </c>
      <c r="E310" s="531"/>
      <c r="F310" s="531"/>
      <c r="G310" s="531"/>
      <c r="H310" s="153" t="s">
        <v>12</v>
      </c>
      <c r="I310" s="342"/>
      <c r="J310" s="342"/>
      <c r="K310" s="343"/>
      <c r="L310" s="156">
        <f t="shared" ref="L310:N310" ca="1" si="92">L311+L312</f>
        <v>0</v>
      </c>
      <c r="M310" s="156">
        <f t="shared" ca="1" si="92"/>
        <v>0</v>
      </c>
      <c r="N310" s="156">
        <f t="shared" ca="1" si="92"/>
        <v>0</v>
      </c>
      <c r="O310" s="155">
        <f t="shared" ref="O310:O312" ca="1" si="93">IF(L310&gt;0,N310*100/L310,0)</f>
        <v>0</v>
      </c>
      <c r="P310" s="155">
        <f t="shared" ref="P310:P312" ca="1" si="94">IF(M310&gt;0,N310*100/M310,0)</f>
        <v>0</v>
      </c>
    </row>
    <row r="311" spans="1:16" ht="21.75" customHeight="1" x14ac:dyDescent="0.45">
      <c r="A311" s="157"/>
      <c r="B311" s="32"/>
      <c r="C311" s="32"/>
      <c r="D311" s="32"/>
      <c r="E311" s="32"/>
      <c r="F311" s="32"/>
      <c r="G311" s="33" t="s">
        <v>18</v>
      </c>
      <c r="H311" s="158" t="s">
        <v>12</v>
      </c>
      <c r="I311" s="342"/>
      <c r="J311" s="342"/>
      <c r="K311" s="343"/>
      <c r="L311" s="161">
        <f t="shared" ref="L311:N311" si="95">L313+L317</f>
        <v>0</v>
      </c>
      <c r="M311" s="161">
        <f t="shared" si="95"/>
        <v>0</v>
      </c>
      <c r="N311" s="161">
        <f t="shared" si="95"/>
        <v>0</v>
      </c>
      <c r="O311" s="160">
        <f t="shared" si="93"/>
        <v>0</v>
      </c>
      <c r="P311" s="160">
        <f t="shared" si="94"/>
        <v>0</v>
      </c>
    </row>
    <row r="312" spans="1:16" ht="21.75" customHeight="1" x14ac:dyDescent="0.45">
      <c r="A312" s="157"/>
      <c r="B312" s="32"/>
      <c r="C312" s="32"/>
      <c r="D312" s="32"/>
      <c r="E312" s="32"/>
      <c r="F312" s="32"/>
      <c r="G312" s="33" t="s">
        <v>19</v>
      </c>
      <c r="H312" s="158" t="s">
        <v>12</v>
      </c>
      <c r="I312" s="342"/>
      <c r="J312" s="342"/>
      <c r="K312" s="343"/>
      <c r="L312" s="161">
        <f t="shared" ref="L312:N312" ca="1" si="96">L314+L318</f>
        <v>0</v>
      </c>
      <c r="M312" s="161">
        <f t="shared" ca="1" si="96"/>
        <v>0</v>
      </c>
      <c r="N312" s="161">
        <f t="shared" ca="1" si="96"/>
        <v>0</v>
      </c>
      <c r="O312" s="160">
        <f t="shared" ca="1" si="93"/>
        <v>0</v>
      </c>
      <c r="P312" s="160">
        <f t="shared" ca="1" si="94"/>
        <v>0</v>
      </c>
    </row>
    <row r="313" spans="1:16" ht="21.75" customHeight="1" x14ac:dyDescent="0.45">
      <c r="A313" s="162"/>
      <c r="B313" s="163"/>
      <c r="C313" s="163" t="s">
        <v>16</v>
      </c>
      <c r="D313" s="527" t="s">
        <v>20</v>
      </c>
      <c r="E313" s="528"/>
      <c r="F313" s="528"/>
      <c r="G313" s="164" t="s">
        <v>38</v>
      </c>
      <c r="H313" s="165" t="s">
        <v>12</v>
      </c>
      <c r="I313" s="166" t="s">
        <v>39</v>
      </c>
      <c r="J313" s="166"/>
      <c r="K313" s="167"/>
      <c r="L313" s="168">
        <v>0</v>
      </c>
      <c r="M313" s="168"/>
      <c r="N313" s="168">
        <v>0</v>
      </c>
      <c r="O313" s="169">
        <f>+IF(L313&gt;0,N313*100/L313,0)</f>
        <v>0</v>
      </c>
      <c r="P313" s="169"/>
    </row>
    <row r="314" spans="1:16" ht="21.75" customHeight="1" x14ac:dyDescent="0.35">
      <c r="A314" s="162"/>
      <c r="B314" s="163"/>
      <c r="C314" s="163"/>
      <c r="D314" s="170"/>
      <c r="E314" s="171"/>
      <c r="F314" s="171" t="s">
        <v>39</v>
      </c>
      <c r="G314" s="164" t="s">
        <v>40</v>
      </c>
      <c r="H314" s="165" t="s">
        <v>12</v>
      </c>
      <c r="I314" s="166"/>
      <c r="J314" s="166"/>
      <c r="K314" s="167"/>
      <c r="L314" s="172">
        <f ca="1">L315+L316</f>
        <v>0</v>
      </c>
      <c r="M314" s="173">
        <f ca="1">IFERROR(__xludf.DUMMYFUNCTION("IMPORTRANGE(""https://docs.google.com/spreadsheets/d/1Yj_ptqi66GCucihVvJfMjLAmec39IyEx_6qawtMGysU/edit?usp=sharing"",""สบก!DC88"")"),0)</f>
        <v>0</v>
      </c>
      <c r="N314" s="174">
        <f ca="1">IFERROR(__xludf.DUMMYFUNCTION("IMPORTRANGE(""https://docs.google.com/spreadsheets/d/1Yj_ptqi66GCucihVvJfMjLAmec39IyEx_6qawtMGysU/edit?usp=sharing"",""สบก!DD88"")"),0)</f>
        <v>0</v>
      </c>
      <c r="O314" s="175">
        <f ca="1">IF(L314&gt;0,N314*100/L314,0)</f>
        <v>0</v>
      </c>
      <c r="P314" s="175">
        <f ca="1">IF(M314&gt;0,N314*100/M314,0)</f>
        <v>0</v>
      </c>
    </row>
    <row r="315" spans="1:16" ht="21.75" customHeight="1" x14ac:dyDescent="0.35">
      <c r="A315" s="162"/>
      <c r="B315" s="163"/>
      <c r="C315" s="163"/>
      <c r="D315" s="170"/>
      <c r="E315" s="171"/>
      <c r="F315" s="171"/>
      <c r="G315" s="176" t="s">
        <v>41</v>
      </c>
      <c r="H315" s="165" t="s">
        <v>12</v>
      </c>
      <c r="I315" s="166"/>
      <c r="J315" s="166"/>
      <c r="K315" s="167"/>
      <c r="L315" s="173">
        <f ca="1">IFERROR(__xludf.DUMMYFUNCTION("IMPORTRANGE(""https://docs.google.com/spreadsheets/d/1Yj_ptqi66GCucihVvJfMjLAmec39IyEx_6qawtMGysU/edit?usp=sharing"",""สบก!CY88"")"),0)</f>
        <v>0</v>
      </c>
      <c r="M315" s="172"/>
      <c r="N315" s="172"/>
      <c r="O315" s="175"/>
      <c r="P315" s="175"/>
    </row>
    <row r="316" spans="1:16" ht="21.75" customHeight="1" x14ac:dyDescent="0.35">
      <c r="A316" s="162"/>
      <c r="B316" s="163"/>
      <c r="C316" s="163"/>
      <c r="D316" s="170"/>
      <c r="E316" s="171"/>
      <c r="F316" s="171"/>
      <c r="G316" s="176" t="s">
        <v>42</v>
      </c>
      <c r="H316" s="165" t="s">
        <v>12</v>
      </c>
      <c r="I316" s="166"/>
      <c r="J316" s="194"/>
      <c r="K316" s="230"/>
      <c r="L316" s="173">
        <f ca="1">IFERROR(__xludf.DUMMYFUNCTION("IMPORTRANGE(""https://docs.google.com/spreadsheets/d/1Yj_ptqi66GCucihVvJfMjLAmec39IyEx_6qawtMGysU/edit?usp=sharing"",""สบก!CZ88"")"),0)</f>
        <v>0</v>
      </c>
      <c r="M316" s="172"/>
      <c r="N316" s="172"/>
      <c r="O316" s="175"/>
      <c r="P316" s="175"/>
    </row>
    <row r="317" spans="1:16" ht="21.75" customHeight="1" x14ac:dyDescent="0.45">
      <c r="A317" s="177"/>
      <c r="B317" s="81"/>
      <c r="C317" s="82" t="s">
        <v>16</v>
      </c>
      <c r="D317" s="529" t="s">
        <v>23</v>
      </c>
      <c r="E317" s="528"/>
      <c r="F317" s="89"/>
      <c r="G317" s="83" t="s">
        <v>18</v>
      </c>
      <c r="H317" s="178" t="s">
        <v>12</v>
      </c>
      <c r="I317" s="166"/>
      <c r="J317" s="194"/>
      <c r="K317" s="230"/>
      <c r="L317" s="93">
        <v>0</v>
      </c>
      <c r="M317" s="93"/>
      <c r="N317" s="42"/>
      <c r="O317" s="93"/>
      <c r="P317" s="93"/>
    </row>
    <row r="318" spans="1:16" ht="21.75" customHeight="1" x14ac:dyDescent="0.45">
      <c r="A318" s="179"/>
      <c r="B318" s="95"/>
      <c r="C318" s="95"/>
      <c r="D318" s="180"/>
      <c r="E318" s="96"/>
      <c r="F318" s="96"/>
      <c r="G318" s="97" t="s">
        <v>19</v>
      </c>
      <c r="H318" s="181" t="s">
        <v>12</v>
      </c>
      <c r="I318" s="166"/>
      <c r="J318" s="194"/>
      <c r="K318" s="230"/>
      <c r="L318" s="91">
        <f ca="1">IFERROR(__xludf.DUMMYFUNCTION("IMPORTRANGE(""https://docs.google.com/spreadsheets/d/1Yj_ptqi66GCucihVvJfMjLAmec39IyEx_6qawtMGysU/edit?usp=sharing"",""สบก!DA88"")"),0)</f>
        <v>0</v>
      </c>
      <c r="M318" s="101"/>
      <c r="N318" s="91">
        <f ca="1">IFERROR(__xludf.DUMMYFUNCTION("IMPORTRANGE(""https://docs.google.com/spreadsheets/d/1Yj_ptqi66GCucihVvJfMjLAmec39IyEx_6qawtMGysU/edit?usp=sharing"",""สบก!DE88"")"),0)</f>
        <v>0</v>
      </c>
      <c r="O318" s="101">
        <f ca="1">IF(L318&gt;0,N318*100/L318,0)</f>
        <v>0</v>
      </c>
      <c r="P318" s="101"/>
    </row>
    <row r="319" spans="1:16" ht="21.75" customHeight="1" x14ac:dyDescent="0.35">
      <c r="A319" s="182"/>
      <c r="B319" s="183"/>
      <c r="C319" s="163" t="s">
        <v>16</v>
      </c>
      <c r="D319" s="184" t="s">
        <v>43</v>
      </c>
      <c r="E319" s="185"/>
      <c r="F319" s="185"/>
      <c r="G319" s="186"/>
      <c r="H319" s="187"/>
      <c r="I319" s="166"/>
      <c r="J319" s="194"/>
      <c r="K319" s="230"/>
      <c r="L319" s="175"/>
      <c r="M319" s="175"/>
      <c r="N319" s="175"/>
      <c r="O319" s="188"/>
      <c r="P319" s="188"/>
    </row>
    <row r="320" spans="1:16" ht="21.75" customHeight="1" x14ac:dyDescent="0.35">
      <c r="A320" s="182"/>
      <c r="B320" s="183"/>
      <c r="C320" s="183"/>
      <c r="D320" s="189">
        <v>1</v>
      </c>
      <c r="E320" s="190" t="s">
        <v>44</v>
      </c>
      <c r="F320" s="191"/>
      <c r="G320" s="192"/>
      <c r="H320" s="193"/>
      <c r="I320" s="194"/>
      <c r="J320" s="194">
        <f ca="1">IFERROR(__xludf.DUMMYFUNCTION("IMPORTRANGE(""https://docs.google.com/spreadsheets/d/1IYY_tgx_IHuhSq3AJ5eI5OnqOPBNLWSHKh2a30DoXe8/edit?usp=sharing"",""พัทลุง!J220"")"),0)</f>
        <v>0</v>
      </c>
      <c r="K320" s="230"/>
      <c r="L320" s="175"/>
      <c r="M320" s="175"/>
      <c r="N320" s="175"/>
      <c r="O320" s="188"/>
      <c r="P320" s="188"/>
    </row>
    <row r="321" spans="1:16" ht="21.75" customHeight="1" x14ac:dyDescent="0.35">
      <c r="A321" s="182"/>
      <c r="B321" s="183"/>
      <c r="C321" s="183"/>
      <c r="D321" s="196">
        <v>2</v>
      </c>
      <c r="E321" s="197" t="s">
        <v>45</v>
      </c>
      <c r="F321" s="198"/>
      <c r="G321" s="199"/>
      <c r="H321" s="193"/>
      <c r="I321" s="194"/>
      <c r="J321" s="194">
        <f ca="1">IFERROR(__xludf.DUMMYFUNCTION("IMPORTRANGE(""https://docs.google.com/spreadsheets/d/1IYY_tgx_IHuhSq3AJ5eI5OnqOPBNLWSHKh2a30DoXe8/edit?usp=sharing"",""พัทลุง!J221"")"),0)</f>
        <v>0</v>
      </c>
      <c r="K321" s="230"/>
      <c r="L321" s="175" t="s">
        <v>39</v>
      </c>
      <c r="M321" s="175"/>
      <c r="N321" s="175" t="s">
        <v>39</v>
      </c>
      <c r="O321" s="188"/>
      <c r="P321" s="188"/>
    </row>
    <row r="322" spans="1:16" ht="21.75" customHeight="1" x14ac:dyDescent="0.35">
      <c r="A322" s="182"/>
      <c r="B322" s="183"/>
      <c r="C322" s="183"/>
      <c r="D322" s="200"/>
      <c r="E322" s="201" t="s">
        <v>46</v>
      </c>
      <c r="F322" s="202"/>
      <c r="G322" s="203"/>
      <c r="H322" s="193"/>
      <c r="I322" s="194"/>
      <c r="J322" s="194">
        <f ca="1">IFERROR(__xludf.DUMMYFUNCTION("IMPORTRANGE(""https://docs.google.com/spreadsheets/d/1IYY_tgx_IHuhSq3AJ5eI5OnqOPBNLWSHKh2a30DoXe8/edit?usp=sharing"",""พัทลุง!J222"")"),0)</f>
        <v>0</v>
      </c>
      <c r="K322" s="230"/>
      <c r="L322" s="175"/>
      <c r="M322" s="175"/>
      <c r="N322" s="175"/>
      <c r="O322" s="188"/>
      <c r="P322" s="188"/>
    </row>
    <row r="323" spans="1:16" ht="21.75" customHeight="1" x14ac:dyDescent="0.35">
      <c r="A323" s="182"/>
      <c r="B323" s="183"/>
      <c r="C323" s="183"/>
      <c r="D323" s="200"/>
      <c r="E323" s="201" t="s">
        <v>47</v>
      </c>
      <c r="F323" s="202"/>
      <c r="G323" s="203"/>
      <c r="H323" s="193"/>
      <c r="I323" s="194"/>
      <c r="J323" s="194">
        <f ca="1">IFERROR(__xludf.DUMMYFUNCTION("IMPORTRANGE(""https://docs.google.com/spreadsheets/d/1IYY_tgx_IHuhSq3AJ5eI5OnqOPBNLWSHKh2a30DoXe8/edit?usp=sharing"",""พัทลุง!J223"")"),0)</f>
        <v>0</v>
      </c>
      <c r="K323" s="230"/>
      <c r="L323" s="175"/>
      <c r="M323" s="175"/>
      <c r="N323" s="175"/>
      <c r="O323" s="188"/>
      <c r="P323" s="188"/>
    </row>
    <row r="324" spans="1:16" ht="21.75" customHeight="1" x14ac:dyDescent="0.35">
      <c r="A324" s="182"/>
      <c r="B324" s="183"/>
      <c r="C324" s="183"/>
      <c r="D324" s="200"/>
      <c r="E324" s="205"/>
      <c r="F324" s="201" t="s">
        <v>117</v>
      </c>
      <c r="G324" s="203"/>
      <c r="H324" s="193" t="s">
        <v>116</v>
      </c>
      <c r="I324" s="194">
        <f ca="1">IFERROR(__xludf.DUMMYFUNCTION("IMPORTRANGE(""https://docs.google.com/spreadsheets/d/1IYY_tgx_IHuhSq3AJ5eI5OnqOPBNLWSHKh2a30DoXe8/edit?usp=sharing"",""พัทลุง!I224"")"),0)</f>
        <v>0</v>
      </c>
      <c r="J324" s="210">
        <f ca="1">IFERROR(__xludf.DUMMYFUNCTION("IMPORTRANGE(""https://docs.google.com/spreadsheets/d/1IYY_tgx_IHuhSq3AJ5eI5OnqOPBNLWSHKh2a30DoXe8/edit?usp=sharing"",""พัทลุง!J224"")"),0)</f>
        <v>0</v>
      </c>
      <c r="K324" s="230">
        <f ca="1">IF(I324&gt;0,J324*100/I324,0)</f>
        <v>0</v>
      </c>
      <c r="L324" s="175"/>
      <c r="M324" s="175"/>
      <c r="N324" s="175"/>
      <c r="O324" s="188"/>
      <c r="P324" s="188"/>
    </row>
    <row r="325" spans="1:16" ht="21.75" customHeight="1" x14ac:dyDescent="0.35">
      <c r="A325" s="182"/>
      <c r="B325" s="183"/>
      <c r="C325" s="183"/>
      <c r="D325" s="200"/>
      <c r="E325" s="201" t="s">
        <v>53</v>
      </c>
      <c r="F325" s="202"/>
      <c r="G325" s="203"/>
      <c r="H325" s="193"/>
      <c r="I325" s="194"/>
      <c r="J325" s="194">
        <f ca="1">IFERROR(__xludf.DUMMYFUNCTION("IMPORTRANGE(""https://docs.google.com/spreadsheets/d/1IYY_tgx_IHuhSq3AJ5eI5OnqOPBNLWSHKh2a30DoXe8/edit?usp=sharing"",""พัทลุง!J225"")"),0)</f>
        <v>0</v>
      </c>
      <c r="K325" s="230"/>
      <c r="L325" s="175"/>
      <c r="M325" s="175"/>
      <c r="N325" s="175"/>
      <c r="O325" s="188"/>
      <c r="P325" s="188"/>
    </row>
    <row r="326" spans="1:16" ht="21.75" customHeight="1" x14ac:dyDescent="0.35">
      <c r="A326" s="182"/>
      <c r="B326" s="183"/>
      <c r="C326" s="183"/>
      <c r="D326" s="212">
        <v>3</v>
      </c>
      <c r="E326" s="213" t="s">
        <v>54</v>
      </c>
      <c r="F326" s="214"/>
      <c r="G326" s="215"/>
      <c r="H326" s="193"/>
      <c r="I326" s="194"/>
      <c r="J326" s="233">
        <f ca="1">IFERROR(__xludf.DUMMYFUNCTION("IMPORTRANGE(""https://docs.google.com/spreadsheets/d/1IYY_tgx_IHuhSq3AJ5eI5OnqOPBNLWSHKh2a30DoXe8/edit?usp=sharing"",""พัทลุง!J226"")"),0)</f>
        <v>0</v>
      </c>
      <c r="K326" s="230"/>
      <c r="L326" s="175"/>
      <c r="M326" s="175"/>
      <c r="N326" s="175"/>
      <c r="O326" s="188"/>
      <c r="P326" s="188"/>
    </row>
    <row r="327" spans="1:16" ht="21.75" customHeight="1" x14ac:dyDescent="0.35">
      <c r="A327" s="310" t="s">
        <v>118</v>
      </c>
      <c r="B327" s="311"/>
      <c r="C327" s="311"/>
      <c r="D327" s="312"/>
      <c r="E327" s="311"/>
      <c r="F327" s="311"/>
      <c r="G327" s="325"/>
      <c r="H327" s="314"/>
      <c r="I327" s="315"/>
      <c r="J327" s="315"/>
      <c r="K327" s="316"/>
      <c r="L327" s="316"/>
      <c r="M327" s="316"/>
      <c r="N327" s="316"/>
      <c r="O327" s="317"/>
      <c r="P327" s="317"/>
    </row>
    <row r="328" spans="1:16" ht="21.75" customHeight="1" x14ac:dyDescent="0.35">
      <c r="A328" s="318"/>
      <c r="B328" s="344" t="s">
        <v>119</v>
      </c>
      <c r="C328" s="331"/>
      <c r="D328" s="319"/>
      <c r="E328" s="319"/>
      <c r="F328" s="319"/>
      <c r="G328" s="320"/>
      <c r="H328" s="321" t="s">
        <v>37</v>
      </c>
      <c r="I328" s="345">
        <f ca="1">IFERROR(__xludf.DUMMYFUNCTION("IMPORTRANGE(""https://docs.google.com/spreadsheets/d/1IYY_tgx_IHuhSq3AJ5eI5OnqOPBNLWSHKh2a30DoXe8/edit?usp=sharing"",""พัทลุง!I228"")"),165)</f>
        <v>165</v>
      </c>
      <c r="J328" s="345">
        <f ca="1">IFERROR(__xludf.DUMMYFUNCTION("IMPORTRANGE(""https://docs.google.com/spreadsheets/d/1IYY_tgx_IHuhSq3AJ5eI5OnqOPBNLWSHKh2a30DoXe8/edit?usp=sharing"",""พัทลุง!J228"")"),110)</f>
        <v>110</v>
      </c>
      <c r="K328" s="323">
        <f ca="1">IF(I328&gt;0,J328*100/I328,0)</f>
        <v>66.666666666666671</v>
      </c>
      <c r="L328" s="324"/>
      <c r="M328" s="324"/>
      <c r="N328" s="324"/>
      <c r="O328" s="323"/>
      <c r="P328" s="323"/>
    </row>
    <row r="329" spans="1:16" ht="21.75" customHeight="1" x14ac:dyDescent="0.45">
      <c r="A329" s="150"/>
      <c r="B329" s="151"/>
      <c r="C329" s="152" t="s">
        <v>16</v>
      </c>
      <c r="D329" s="530" t="s">
        <v>17</v>
      </c>
      <c r="E329" s="531"/>
      <c r="F329" s="531"/>
      <c r="G329" s="531"/>
      <c r="H329" s="153" t="s">
        <v>12</v>
      </c>
      <c r="I329" s="166"/>
      <c r="J329" s="166"/>
      <c r="K329" s="167"/>
      <c r="L329" s="156">
        <f t="shared" ref="L329:N329" ca="1" si="97">L330+L331</f>
        <v>719620</v>
      </c>
      <c r="M329" s="156">
        <f t="shared" ca="1" si="97"/>
        <v>564280</v>
      </c>
      <c r="N329" s="156">
        <f t="shared" ca="1" si="97"/>
        <v>448798.56</v>
      </c>
      <c r="O329" s="155">
        <f t="shared" ref="O329:O331" ca="1" si="98">IF(L329&gt;0,N329*100/L329,0)</f>
        <v>62.366048747950309</v>
      </c>
      <c r="P329" s="155">
        <f t="shared" ref="P329:P331" ca="1" si="99">IF(M329&gt;0,N329*100/M329,0)</f>
        <v>79.534727440277877</v>
      </c>
    </row>
    <row r="330" spans="1:16" ht="21.75" customHeight="1" x14ac:dyDescent="0.45">
      <c r="A330" s="157"/>
      <c r="B330" s="32"/>
      <c r="C330" s="32"/>
      <c r="D330" s="32"/>
      <c r="E330" s="32"/>
      <c r="F330" s="32"/>
      <c r="G330" s="33" t="s">
        <v>18</v>
      </c>
      <c r="H330" s="158" t="s">
        <v>12</v>
      </c>
      <c r="I330" s="166"/>
      <c r="J330" s="166"/>
      <c r="K330" s="167"/>
      <c r="L330" s="161">
        <f t="shared" ref="L330:N330" si="100">L332+L336</f>
        <v>0</v>
      </c>
      <c r="M330" s="161">
        <f t="shared" si="100"/>
        <v>0</v>
      </c>
      <c r="N330" s="161">
        <f t="shared" si="100"/>
        <v>0</v>
      </c>
      <c r="O330" s="160">
        <f t="shared" si="98"/>
        <v>0</v>
      </c>
      <c r="P330" s="160">
        <f t="shared" si="99"/>
        <v>0</v>
      </c>
    </row>
    <row r="331" spans="1:16" ht="21.75" customHeight="1" x14ac:dyDescent="0.45">
      <c r="A331" s="157"/>
      <c r="B331" s="32"/>
      <c r="C331" s="32"/>
      <c r="D331" s="32"/>
      <c r="E331" s="32"/>
      <c r="F331" s="32"/>
      <c r="G331" s="33" t="s">
        <v>19</v>
      </c>
      <c r="H331" s="158" t="s">
        <v>12</v>
      </c>
      <c r="I331" s="166"/>
      <c r="J331" s="166"/>
      <c r="K331" s="167"/>
      <c r="L331" s="161">
        <f t="shared" ref="L331:N331" ca="1" si="101">L333+L337</f>
        <v>719620</v>
      </c>
      <c r="M331" s="161">
        <f t="shared" ca="1" si="101"/>
        <v>564280</v>
      </c>
      <c r="N331" s="161">
        <f t="shared" ca="1" si="101"/>
        <v>448798.56</v>
      </c>
      <c r="O331" s="160">
        <f t="shared" ca="1" si="98"/>
        <v>62.366048747950309</v>
      </c>
      <c r="P331" s="160">
        <f t="shared" ca="1" si="99"/>
        <v>79.534727440277877</v>
      </c>
    </row>
    <row r="332" spans="1:16" ht="21.75" customHeight="1" x14ac:dyDescent="0.45">
      <c r="A332" s="162"/>
      <c r="B332" s="163"/>
      <c r="C332" s="163" t="s">
        <v>16</v>
      </c>
      <c r="D332" s="527" t="s">
        <v>20</v>
      </c>
      <c r="E332" s="528"/>
      <c r="F332" s="528"/>
      <c r="G332" s="164" t="s">
        <v>38</v>
      </c>
      <c r="H332" s="165" t="s">
        <v>12</v>
      </c>
      <c r="I332" s="166" t="s">
        <v>39</v>
      </c>
      <c r="J332" s="166"/>
      <c r="K332" s="167"/>
      <c r="L332" s="168">
        <v>0</v>
      </c>
      <c r="M332" s="168"/>
      <c r="N332" s="168">
        <v>0</v>
      </c>
      <c r="O332" s="169">
        <f>+IF(L332&gt;0,N332*100/L332,0)</f>
        <v>0</v>
      </c>
      <c r="P332" s="169"/>
    </row>
    <row r="333" spans="1:16" ht="21.75" customHeight="1" x14ac:dyDescent="0.35">
      <c r="A333" s="162"/>
      <c r="B333" s="163"/>
      <c r="C333" s="163"/>
      <c r="D333" s="170"/>
      <c r="E333" s="171"/>
      <c r="F333" s="171" t="s">
        <v>39</v>
      </c>
      <c r="G333" s="164" t="s">
        <v>40</v>
      </c>
      <c r="H333" s="165" t="s">
        <v>12</v>
      </c>
      <c r="I333" s="166"/>
      <c r="J333" s="166"/>
      <c r="K333" s="167"/>
      <c r="L333" s="172">
        <f ca="1">L334+L335</f>
        <v>580620</v>
      </c>
      <c r="M333" s="173">
        <f ca="1">IFERROR(__xludf.DUMMYFUNCTION("IMPORTRANGE(""https://docs.google.com/spreadsheets/d/1Yj_ptqi66GCucihVvJfMjLAmec39IyEx_6qawtMGysU/edit?usp=sharing"",""สบก!DL88"")"),425280)</f>
        <v>425280</v>
      </c>
      <c r="N333" s="174">
        <f ca="1">IFERROR(__xludf.DUMMYFUNCTION("IMPORTRANGE(""https://docs.google.com/spreadsheets/d/1Yj_ptqi66GCucihVvJfMjLAmec39IyEx_6qawtMGysU/edit?usp=sharing"",""สบก!DM88"")"),309798.56)</f>
        <v>309798.56</v>
      </c>
      <c r="O333" s="175">
        <f ca="1">IF(L333&gt;0,N333*100/L333,0)</f>
        <v>53.356508559815367</v>
      </c>
      <c r="P333" s="175">
        <f ca="1">IF(M333&gt;0,N333*100/M333,0)</f>
        <v>72.845786305492851</v>
      </c>
    </row>
    <row r="334" spans="1:16" ht="21.75" customHeight="1" x14ac:dyDescent="0.35">
      <c r="A334" s="162"/>
      <c r="B334" s="163"/>
      <c r="C334" s="163"/>
      <c r="D334" s="170"/>
      <c r="E334" s="171"/>
      <c r="F334" s="171"/>
      <c r="G334" s="176" t="s">
        <v>41</v>
      </c>
      <c r="H334" s="165" t="s">
        <v>12</v>
      </c>
      <c r="I334" s="166"/>
      <c r="J334" s="166"/>
      <c r="K334" s="167"/>
      <c r="L334" s="173">
        <f ca="1">IFERROR(__xludf.DUMMYFUNCTION("IMPORTRANGE(""https://docs.google.com/spreadsheets/d/1Yj_ptqi66GCucihVvJfMjLAmec39IyEx_6qawtMGysU/edit?usp=sharing"",""สบก!DH88"")"),306000)</f>
        <v>306000</v>
      </c>
      <c r="M334" s="172"/>
      <c r="N334" s="172"/>
      <c r="O334" s="175"/>
      <c r="P334" s="175"/>
    </row>
    <row r="335" spans="1:16" ht="21.75" customHeight="1" x14ac:dyDescent="0.35">
      <c r="A335" s="162"/>
      <c r="B335" s="163"/>
      <c r="C335" s="163"/>
      <c r="D335" s="170"/>
      <c r="E335" s="171"/>
      <c r="F335" s="171"/>
      <c r="G335" s="176" t="s">
        <v>42</v>
      </c>
      <c r="H335" s="165" t="s">
        <v>12</v>
      </c>
      <c r="I335" s="166"/>
      <c r="J335" s="166"/>
      <c r="K335" s="167"/>
      <c r="L335" s="173">
        <f ca="1">IFERROR(__xludf.DUMMYFUNCTION("IMPORTRANGE(""https://docs.google.com/spreadsheets/d/1Yj_ptqi66GCucihVvJfMjLAmec39IyEx_6qawtMGysU/edit?usp=sharing"",""สบก!DI88"")"),274620)</f>
        <v>274620</v>
      </c>
      <c r="M335" s="172"/>
      <c r="N335" s="172"/>
      <c r="O335" s="175"/>
      <c r="P335" s="175"/>
    </row>
    <row r="336" spans="1:16" ht="21.75" customHeight="1" x14ac:dyDescent="0.45">
      <c r="A336" s="177"/>
      <c r="B336" s="81"/>
      <c r="C336" s="82" t="s">
        <v>16</v>
      </c>
      <c r="D336" s="529" t="s">
        <v>23</v>
      </c>
      <c r="E336" s="528"/>
      <c r="F336" s="89"/>
      <c r="G336" s="83" t="s">
        <v>18</v>
      </c>
      <c r="H336" s="178" t="s">
        <v>12</v>
      </c>
      <c r="I336" s="166"/>
      <c r="J336" s="166"/>
      <c r="K336" s="167"/>
      <c r="L336" s="93">
        <v>0</v>
      </c>
      <c r="M336" s="93"/>
      <c r="N336" s="42"/>
      <c r="O336" s="93"/>
      <c r="P336" s="93"/>
    </row>
    <row r="337" spans="1:16" ht="21.75" customHeight="1" x14ac:dyDescent="0.45">
      <c r="A337" s="179"/>
      <c r="B337" s="95"/>
      <c r="C337" s="95"/>
      <c r="D337" s="180"/>
      <c r="E337" s="96"/>
      <c r="F337" s="96"/>
      <c r="G337" s="97" t="s">
        <v>19</v>
      </c>
      <c r="H337" s="181" t="s">
        <v>12</v>
      </c>
      <c r="I337" s="166"/>
      <c r="J337" s="166"/>
      <c r="K337" s="167"/>
      <c r="L337" s="91">
        <f ca="1">IFERROR(__xludf.DUMMYFUNCTION("IMPORTRANGE(""https://docs.google.com/spreadsheets/d/1Yj_ptqi66GCucihVvJfMjLAmec39IyEx_6qawtMGysU/edit?usp=sharing"",""สบก!DJ88"")"),139000)</f>
        <v>139000</v>
      </c>
      <c r="M337" s="101">
        <f ca="1">L337</f>
        <v>139000</v>
      </c>
      <c r="N337" s="91">
        <f ca="1">IFERROR(__xludf.DUMMYFUNCTION("IMPORTRANGE(""https://docs.google.com/spreadsheets/d/1Yj_ptqi66GCucihVvJfMjLAmec39IyEx_6qawtMGysU/edit?usp=sharing"",""สบก!DN88"")"),139000)</f>
        <v>139000</v>
      </c>
      <c r="O337" s="101">
        <f ca="1">IF(L337&gt;0,N337*100/L337,0)</f>
        <v>100</v>
      </c>
      <c r="P337" s="101">
        <f ca="1">IF(M337&gt;0,N337*100/M337,0)</f>
        <v>100</v>
      </c>
    </row>
    <row r="338" spans="1:16" ht="21.75" customHeight="1" x14ac:dyDescent="0.35">
      <c r="A338" s="182"/>
      <c r="B338" s="297"/>
      <c r="C338" s="346" t="s">
        <v>120</v>
      </c>
      <c r="D338" s="202"/>
      <c r="E338" s="202"/>
      <c r="F338" s="202"/>
      <c r="G338" s="203"/>
      <c r="H338" s="187"/>
      <c r="I338" s="347"/>
      <c r="J338" s="347"/>
      <c r="K338" s="348"/>
      <c r="L338" s="188"/>
      <c r="M338" s="188"/>
      <c r="N338" s="188"/>
      <c r="O338" s="349"/>
      <c r="P338" s="349"/>
    </row>
    <row r="339" spans="1:16" ht="21.75" customHeight="1" x14ac:dyDescent="0.35">
      <c r="A339" s="182"/>
      <c r="B339" s="297"/>
      <c r="C339" s="183"/>
      <c r="D339" s="202"/>
      <c r="E339" s="201" t="s">
        <v>121</v>
      </c>
      <c r="F339" s="202"/>
      <c r="G339" s="203"/>
      <c r="H339" s="350" t="s">
        <v>37</v>
      </c>
      <c r="I339" s="210">
        <f ca="1">IFERROR(__xludf.DUMMYFUNCTION("IMPORTRANGE(""https://docs.google.com/spreadsheets/d/1IYY_tgx_IHuhSq3AJ5eI5OnqOPBNLWSHKh2a30DoXe8/edit?usp=sharing"",""พัทลุง!I234"")"),0)</f>
        <v>0</v>
      </c>
      <c r="J339" s="194">
        <f ca="1">IFERROR(__xludf.DUMMYFUNCTION("IMPORTRANGE(""https://docs.google.com/spreadsheets/d/1IYY_tgx_IHuhSq3AJ5eI5OnqOPBNLWSHKh2a30DoXe8/edit?usp=sharing"",""พัทลุง!J234"")"),116)</f>
        <v>116</v>
      </c>
      <c r="K339" s="348">
        <f t="shared" ref="K339:K346" ca="1" si="102">IF(I339&gt;0,J339*100/I339,0)</f>
        <v>0</v>
      </c>
      <c r="L339" s="188"/>
      <c r="M339" s="188"/>
      <c r="N339" s="188"/>
      <c r="O339" s="349"/>
      <c r="P339" s="349"/>
    </row>
    <row r="340" spans="1:16" ht="21.75" customHeight="1" x14ac:dyDescent="0.35">
      <c r="A340" s="182"/>
      <c r="B340" s="297"/>
      <c r="C340" s="183"/>
      <c r="D340" s="202"/>
      <c r="E340" s="202"/>
      <c r="F340" s="202"/>
      <c r="G340" s="203"/>
      <c r="H340" s="350" t="s">
        <v>122</v>
      </c>
      <c r="I340" s="194">
        <f ca="1">IFERROR(__xludf.DUMMYFUNCTION("IMPORTRANGE(""https://docs.google.com/spreadsheets/d/1IYY_tgx_IHuhSq3AJ5eI5OnqOPBNLWSHKh2a30DoXe8/edit?usp=sharing"",""พัทลุง!I235"")"),700)</f>
        <v>700</v>
      </c>
      <c r="J340" s="194">
        <f ca="1">IFERROR(__xludf.DUMMYFUNCTION("IMPORTRANGE(""https://docs.google.com/spreadsheets/d/1IYY_tgx_IHuhSq3AJ5eI5OnqOPBNLWSHKh2a30DoXe8/edit?usp=sharing"",""พัทลุง!J235"")"),609.81)</f>
        <v>609.80999999999995</v>
      </c>
      <c r="K340" s="348">
        <f t="shared" ca="1" si="102"/>
        <v>87.115714285714276</v>
      </c>
      <c r="L340" s="188"/>
      <c r="M340" s="188"/>
      <c r="N340" s="188"/>
      <c r="O340" s="349"/>
      <c r="P340" s="349"/>
    </row>
    <row r="341" spans="1:16" ht="21.75" customHeight="1" x14ac:dyDescent="0.35">
      <c r="A341" s="182"/>
      <c r="B341" s="297"/>
      <c r="C341" s="183"/>
      <c r="D341" s="202"/>
      <c r="E341" s="201" t="s">
        <v>123</v>
      </c>
      <c r="F341" s="202"/>
      <c r="G341" s="203"/>
      <c r="H341" s="187" t="s">
        <v>37</v>
      </c>
      <c r="I341" s="194">
        <f ca="1">IFERROR(__xludf.DUMMYFUNCTION("IMPORTRANGE(""https://docs.google.com/spreadsheets/d/1IYY_tgx_IHuhSq3AJ5eI5OnqOPBNLWSHKh2a30DoXe8/edit?usp=sharing"",""พัทลุง!I236"")"),165)</f>
        <v>165</v>
      </c>
      <c r="J341" s="194">
        <f ca="1">IFERROR(__xludf.DUMMYFUNCTION("IMPORTRANGE(""https://docs.google.com/spreadsheets/d/1IYY_tgx_IHuhSq3AJ5eI5OnqOPBNLWSHKh2a30DoXe8/edit?usp=sharing"",""พัทลุง!J236"")"),181)</f>
        <v>181</v>
      </c>
      <c r="K341" s="348">
        <f t="shared" ca="1" si="102"/>
        <v>109.6969696969697</v>
      </c>
      <c r="L341" s="188"/>
      <c r="M341" s="188"/>
      <c r="N341" s="188"/>
      <c r="O341" s="349"/>
      <c r="P341" s="349"/>
    </row>
    <row r="342" spans="1:16" ht="21.75" customHeight="1" x14ac:dyDescent="0.35">
      <c r="A342" s="182"/>
      <c r="B342" s="297"/>
      <c r="C342" s="183"/>
      <c r="D342" s="202"/>
      <c r="E342" s="202"/>
      <c r="F342" s="202"/>
      <c r="G342" s="203"/>
      <c r="H342" s="187" t="s">
        <v>122</v>
      </c>
      <c r="I342" s="351">
        <f ca="1">IFERROR(__xludf.DUMMYFUNCTION("IMPORTRANGE(""https://docs.google.com/spreadsheets/d/1IYY_tgx_IHuhSq3AJ5eI5OnqOPBNLWSHKh2a30DoXe8/edit?usp=sharing"",""พัทลุง!I237"")"),0)</f>
        <v>0</v>
      </c>
      <c r="J342" s="194">
        <f ca="1">IFERROR(__xludf.DUMMYFUNCTION("IMPORTRANGE(""https://docs.google.com/spreadsheets/d/1IYY_tgx_IHuhSq3AJ5eI5OnqOPBNLWSHKh2a30DoXe8/edit?usp=sharing"",""พัทลุง!J237"")"),1116.65)</f>
        <v>1116.6500000000001</v>
      </c>
      <c r="K342" s="348">
        <f t="shared" ca="1" si="102"/>
        <v>0</v>
      </c>
      <c r="L342" s="188"/>
      <c r="M342" s="188"/>
      <c r="N342" s="188"/>
      <c r="O342" s="349"/>
      <c r="P342" s="349"/>
    </row>
    <row r="343" spans="1:16" ht="21.75" customHeight="1" x14ac:dyDescent="0.35">
      <c r="A343" s="182"/>
      <c r="B343" s="297"/>
      <c r="C343" s="183"/>
      <c r="D343" s="202"/>
      <c r="E343" s="201" t="s">
        <v>124</v>
      </c>
      <c r="F343" s="202"/>
      <c r="G343" s="203"/>
      <c r="H343" s="187" t="s">
        <v>37</v>
      </c>
      <c r="I343" s="194">
        <f ca="1">IFERROR(__xludf.DUMMYFUNCTION("IMPORTRANGE(""https://docs.google.com/spreadsheets/d/1IYY_tgx_IHuhSq3AJ5eI5OnqOPBNLWSHKh2a30DoXe8/edit?usp=sharing"",""พัทลุง!I238"")"),165)</f>
        <v>165</v>
      </c>
      <c r="J343" s="194">
        <f ca="1">IFERROR(__xludf.DUMMYFUNCTION("IMPORTRANGE(""https://docs.google.com/spreadsheets/d/1IYY_tgx_IHuhSq3AJ5eI5OnqOPBNLWSHKh2a30DoXe8/edit?usp=sharing"",""พัทลุง!J238"")"),17)</f>
        <v>17</v>
      </c>
      <c r="K343" s="348">
        <f t="shared" ca="1" si="102"/>
        <v>10.303030303030303</v>
      </c>
      <c r="L343" s="188"/>
      <c r="M343" s="188"/>
      <c r="N343" s="188"/>
      <c r="O343" s="349"/>
      <c r="P343" s="349"/>
    </row>
    <row r="344" spans="1:16" ht="21.75" customHeight="1" x14ac:dyDescent="0.35">
      <c r="A344" s="182"/>
      <c r="B344" s="297"/>
      <c r="C344" s="183"/>
      <c r="D344" s="202"/>
      <c r="E344" s="202"/>
      <c r="F344" s="202"/>
      <c r="G344" s="203"/>
      <c r="H344" s="187" t="s">
        <v>122</v>
      </c>
      <c r="I344" s="351">
        <f ca="1">IFERROR(__xludf.DUMMYFUNCTION("IMPORTRANGE(""https://docs.google.com/spreadsheets/d/1IYY_tgx_IHuhSq3AJ5eI5OnqOPBNLWSHKh2a30DoXe8/edit?usp=sharing"",""พัทลุง!I239"")"),0)</f>
        <v>0</v>
      </c>
      <c r="J344" s="194">
        <f ca="1">IFERROR(__xludf.DUMMYFUNCTION("IMPORTRANGE(""https://docs.google.com/spreadsheets/d/1IYY_tgx_IHuhSq3AJ5eI5OnqOPBNLWSHKh2a30DoXe8/edit?usp=sharing"",""พัทลุง!J239"")"),102.53)</f>
        <v>102.53</v>
      </c>
      <c r="K344" s="348">
        <f t="shared" ca="1" si="102"/>
        <v>0</v>
      </c>
      <c r="L344" s="188"/>
      <c r="M344" s="188"/>
      <c r="N344" s="188"/>
      <c r="O344" s="349"/>
      <c r="P344" s="349"/>
    </row>
    <row r="345" spans="1:16" ht="21.75" customHeight="1" x14ac:dyDescent="0.35">
      <c r="A345" s="182"/>
      <c r="B345" s="297"/>
      <c r="C345" s="183"/>
      <c r="D345" s="202"/>
      <c r="E345" s="201" t="s">
        <v>125</v>
      </c>
      <c r="F345" s="202"/>
      <c r="G345" s="203"/>
      <c r="H345" s="187" t="s">
        <v>37</v>
      </c>
      <c r="I345" s="194">
        <f ca="1">IFERROR(__xludf.DUMMYFUNCTION("IMPORTRANGE(""https://docs.google.com/spreadsheets/d/1IYY_tgx_IHuhSq3AJ5eI5OnqOPBNLWSHKh2a30DoXe8/edit?usp=sharing"",""พัทลุง!I240"")"),165)</f>
        <v>165</v>
      </c>
      <c r="J345" s="194">
        <f ca="1">IFERROR(__xludf.DUMMYFUNCTION("IMPORTRANGE(""https://docs.google.com/spreadsheets/d/1IYY_tgx_IHuhSq3AJ5eI5OnqOPBNLWSHKh2a30DoXe8/edit?usp=sharing"",""พัทลุง!J240"")"),110)</f>
        <v>110</v>
      </c>
      <c r="K345" s="348">
        <f t="shared" ca="1" si="102"/>
        <v>66.666666666666671</v>
      </c>
      <c r="L345" s="188"/>
      <c r="M345" s="188"/>
      <c r="N345" s="188"/>
      <c r="O345" s="349"/>
      <c r="P345" s="349"/>
    </row>
    <row r="346" spans="1:16" ht="21.75" customHeight="1" x14ac:dyDescent="0.35">
      <c r="A346" s="240"/>
      <c r="B346" s="352"/>
      <c r="C346" s="241"/>
      <c r="D346" s="352"/>
      <c r="E346" s="353"/>
      <c r="F346" s="353"/>
      <c r="G346" s="354"/>
      <c r="H346" s="355" t="s">
        <v>122</v>
      </c>
      <c r="I346" s="356">
        <f ca="1">IFERROR(__xludf.DUMMYFUNCTION("IMPORTRANGE(""https://docs.google.com/spreadsheets/d/1IYY_tgx_IHuhSq3AJ5eI5OnqOPBNLWSHKh2a30DoXe8/edit?usp=sharing"",""พัทลุง!I241"")"),0)</f>
        <v>0</v>
      </c>
      <c r="J346" s="194">
        <f ca="1">IFERROR(__xludf.DUMMYFUNCTION("IMPORTRANGE(""https://docs.google.com/spreadsheets/d/1IYY_tgx_IHuhSq3AJ5eI5OnqOPBNLWSHKh2a30DoXe8/edit?usp=sharing"",""พัทลุง!J241"")"),673.5)</f>
        <v>673.5</v>
      </c>
      <c r="K346" s="357">
        <f t="shared" ca="1" si="102"/>
        <v>0</v>
      </c>
      <c r="L346" s="251"/>
      <c r="M346" s="251"/>
      <c r="N346" s="251"/>
      <c r="O346" s="358"/>
      <c r="P346" s="358"/>
    </row>
    <row r="347" spans="1:16" ht="21.75" customHeight="1" x14ac:dyDescent="0.35">
      <c r="A347" s="359" t="s">
        <v>126</v>
      </c>
      <c r="B347" s="360"/>
      <c r="C347" s="360"/>
      <c r="D347" s="360"/>
      <c r="E347" s="360"/>
      <c r="F347" s="360"/>
      <c r="G347" s="361"/>
      <c r="H347" s="362"/>
      <c r="I347" s="363"/>
      <c r="J347" s="363"/>
      <c r="K347" s="364"/>
      <c r="L347" s="364">
        <f ca="1">IFERROR(__xludf.DUMMYFUNCTION("IMPORTRANGE(""https://docs.google.com/spreadsheets/d/1IYY_tgx_IHuhSq3AJ5eI5OnqOPBNLWSHKh2a30DoXe8/edit?usp=sharing"",""พัทลุง!L242"")"),1649946.84)</f>
        <v>1649946.84</v>
      </c>
      <c r="M347" s="364"/>
      <c r="N347" s="364">
        <f ca="1">IFERROR(__xludf.DUMMYFUNCTION("IMPORTRANGE(""https://docs.google.com/spreadsheets/d/1IYY_tgx_IHuhSq3AJ5eI5OnqOPBNLWSHKh2a30DoXe8/edit?usp=sharing"",""พัทลุง!M242"")"),693929.99)</f>
        <v>693929.99</v>
      </c>
      <c r="O347" s="364">
        <f ca="1">+IF(L347&gt;0,N347*100/L347,0)</f>
        <v>42.057718053510136</v>
      </c>
      <c r="P347" s="364"/>
    </row>
    <row r="348" spans="1:16" ht="21.75" customHeight="1" x14ac:dyDescent="0.35">
      <c r="A348" s="365" t="s">
        <v>127</v>
      </c>
      <c r="B348" s="366"/>
      <c r="C348" s="366"/>
      <c r="D348" s="366"/>
      <c r="E348" s="366"/>
      <c r="F348" s="366"/>
      <c r="G348" s="367"/>
      <c r="H348" s="368"/>
      <c r="I348" s="369"/>
      <c r="J348" s="369"/>
      <c r="K348" s="370"/>
      <c r="L348" s="370"/>
      <c r="M348" s="370"/>
      <c r="N348" s="370"/>
      <c r="O348" s="371"/>
      <c r="P348" s="371"/>
    </row>
    <row r="349" spans="1:16" ht="21.75" customHeight="1" x14ac:dyDescent="0.35">
      <c r="A349" s="372"/>
      <c r="B349" s="373">
        <v>1</v>
      </c>
      <c r="C349" s="374" t="s">
        <v>128</v>
      </c>
      <c r="D349" s="374"/>
      <c r="E349" s="374"/>
      <c r="F349" s="374"/>
      <c r="G349" s="375"/>
      <c r="H349" s="376" t="s">
        <v>122</v>
      </c>
      <c r="I349" s="377">
        <f ca="1">IFERROR(__xludf.DUMMYFUNCTION("IMPORTRANGE(""https://docs.google.com/spreadsheets/d/1IYY_tgx_IHuhSq3AJ5eI5OnqOPBNLWSHKh2a30DoXe8/edit?usp=sharing"",""พัทลุง!I244"")"),128)</f>
        <v>128</v>
      </c>
      <c r="J349" s="377">
        <f ca="1">IFERROR(__xludf.DUMMYFUNCTION("IMPORTRANGE(""https://docs.google.com/spreadsheets/d/1IYY_tgx_IHuhSq3AJ5eI5OnqOPBNLWSHKh2a30DoXe8/edit?usp=sharing"",""พัทลุง!J244"")"),128)</f>
        <v>128</v>
      </c>
      <c r="K349" s="378">
        <f t="shared" ref="K349:K350" ca="1" si="103">IF(I349&gt;0,J349*100/I349,0)</f>
        <v>100</v>
      </c>
      <c r="L349" s="379">
        <f ca="1">IFERROR(__xludf.DUMMYFUNCTION("IMPORTRANGE(""https://docs.google.com/spreadsheets/d/1IYY_tgx_IHuhSq3AJ5eI5OnqOPBNLWSHKh2a30DoXe8/edit?usp=sharing"",""พัทลุง!L244"")"),334640)</f>
        <v>334640</v>
      </c>
      <c r="M349" s="379"/>
      <c r="N349" s="379">
        <f ca="1">IFERROR(__xludf.DUMMYFUNCTION("IMPORTRANGE(""https://docs.google.com/spreadsheets/d/1IYY_tgx_IHuhSq3AJ5eI5OnqOPBNLWSHKh2a30DoXe8/edit?usp=sharing"",""พัทลุง!M244"")"),222190.68)</f>
        <v>222190.68</v>
      </c>
      <c r="O349" s="379">
        <f ca="1">+IF(L349&gt;0,N349*100/L349,0)</f>
        <v>66.396928042075061</v>
      </c>
      <c r="P349" s="379"/>
    </row>
    <row r="350" spans="1:16" ht="21.75" customHeight="1" x14ac:dyDescent="0.35">
      <c r="A350" s="372"/>
      <c r="B350" s="373"/>
      <c r="C350" s="374"/>
      <c r="D350" s="374"/>
      <c r="E350" s="374"/>
      <c r="F350" s="374"/>
      <c r="G350" s="375"/>
      <c r="H350" s="376" t="s">
        <v>37</v>
      </c>
      <c r="I350" s="377">
        <f ca="1">IFERROR(__xludf.DUMMYFUNCTION("IMPORTRANGE(""https://docs.google.com/spreadsheets/d/1IYY_tgx_IHuhSq3AJ5eI5OnqOPBNLWSHKh2a30DoXe8/edit?usp=sharing"",""พัทลุง!I245"")"),32)</f>
        <v>32</v>
      </c>
      <c r="J350" s="377">
        <f ca="1">IFERROR(__xludf.DUMMYFUNCTION("IMPORTRANGE(""https://docs.google.com/spreadsheets/d/1IYY_tgx_IHuhSq3AJ5eI5OnqOPBNLWSHKh2a30DoXe8/edit?usp=sharing"",""พัทลุง!J245"")"),32)</f>
        <v>32</v>
      </c>
      <c r="K350" s="378">
        <f t="shared" ca="1" si="103"/>
        <v>100</v>
      </c>
      <c r="L350" s="379"/>
      <c r="M350" s="379"/>
      <c r="N350" s="379"/>
      <c r="O350" s="379"/>
      <c r="P350" s="379"/>
    </row>
    <row r="351" spans="1:16" ht="21.75" customHeight="1" x14ac:dyDescent="0.35">
      <c r="A351" s="162"/>
      <c r="B351" s="163"/>
      <c r="C351" s="163" t="s">
        <v>16</v>
      </c>
      <c r="D351" s="284" t="s">
        <v>77</v>
      </c>
      <c r="E351" s="171"/>
      <c r="F351" s="171"/>
      <c r="G351" s="164" t="s">
        <v>38</v>
      </c>
      <c r="H351" s="165" t="s">
        <v>12</v>
      </c>
      <c r="I351" s="166" t="s">
        <v>39</v>
      </c>
      <c r="J351" s="166"/>
      <c r="K351" s="167"/>
      <c r="L351" s="168">
        <f ca="1">IFERROR(__xludf.DUMMYFUNCTION("IMPORTRANGE(""https://docs.google.com/spreadsheets/d/1IYY_tgx_IHuhSq3AJ5eI5OnqOPBNLWSHKh2a30DoXe8/edit?usp=sharing"",""พัทลุง!L246"")"),0)</f>
        <v>0</v>
      </c>
      <c r="M351" s="168"/>
      <c r="N351" s="168">
        <f ca="1">IFERROR(__xludf.DUMMYFUNCTION("IMPORTRANGE(""https://docs.google.com/spreadsheets/d/1IYY_tgx_IHuhSq3AJ5eI5OnqOPBNLWSHKh2a30DoXe8/edit?usp=sharing"",""พัทลุง!M246"")"),0)</f>
        <v>0</v>
      </c>
      <c r="O351" s="169">
        <f t="shared" ref="O351:O354" ca="1" si="104">+IF(L351&gt;0,N351*100/L351,0)</f>
        <v>0</v>
      </c>
      <c r="P351" s="169"/>
    </row>
    <row r="352" spans="1:16" ht="21.75" customHeight="1" x14ac:dyDescent="0.35">
      <c r="A352" s="162"/>
      <c r="B352" s="163"/>
      <c r="C352" s="163"/>
      <c r="D352" s="170"/>
      <c r="E352" s="171"/>
      <c r="F352" s="171" t="s">
        <v>39</v>
      </c>
      <c r="G352" s="164" t="s">
        <v>40</v>
      </c>
      <c r="H352" s="165" t="s">
        <v>12</v>
      </c>
      <c r="I352" s="166"/>
      <c r="J352" s="166"/>
      <c r="K352" s="167"/>
      <c r="L352" s="169">
        <f ca="1">IFERROR(__xludf.DUMMYFUNCTION("IMPORTRANGE(""https://docs.google.com/spreadsheets/d/1IYY_tgx_IHuhSq3AJ5eI5OnqOPBNLWSHKh2a30DoXe8/edit?usp=sharing"",""พัทลุง!L247"")"),334640)</f>
        <v>334640</v>
      </c>
      <c r="M352" s="169"/>
      <c r="N352" s="168">
        <f ca="1">IFERROR(__xludf.DUMMYFUNCTION("IMPORTRANGE(""https://docs.google.com/spreadsheets/d/1IYY_tgx_IHuhSq3AJ5eI5OnqOPBNLWSHKh2a30DoXe8/edit?usp=sharing"",""พัทลุง!M247"")"),222190.68)</f>
        <v>222190.68</v>
      </c>
      <c r="O352" s="169">
        <f t="shared" ca="1" si="104"/>
        <v>66.396928042075061</v>
      </c>
      <c r="P352" s="169"/>
    </row>
    <row r="353" spans="1:16" ht="21.75" customHeight="1" x14ac:dyDescent="0.35">
      <c r="A353" s="162"/>
      <c r="B353" s="163"/>
      <c r="C353" s="163"/>
      <c r="D353" s="170"/>
      <c r="E353" s="171"/>
      <c r="F353" s="171"/>
      <c r="G353" s="380" t="s">
        <v>129</v>
      </c>
      <c r="H353" s="165" t="s">
        <v>12</v>
      </c>
      <c r="I353" s="166"/>
      <c r="J353" s="166"/>
      <c r="K353" s="167"/>
      <c r="L353" s="175">
        <f ca="1">IFERROR(__xludf.DUMMYFUNCTION("IMPORTRANGE(""https://docs.google.com/spreadsheets/d/1IYY_tgx_IHuhSq3AJ5eI5OnqOPBNLWSHKh2a30DoXe8/edit?usp=sharing"",""พัทลุง!L248"")"),0)</f>
        <v>0</v>
      </c>
      <c r="M353" s="175"/>
      <c r="N353" s="175">
        <f ca="1">IFERROR(__xludf.DUMMYFUNCTION("IMPORTRANGE(""https://docs.google.com/spreadsheets/d/1IYY_tgx_IHuhSq3AJ5eI5OnqOPBNLWSHKh2a30DoXe8/edit?usp=sharing"",""พัทลุง!M248"")"),0)</f>
        <v>0</v>
      </c>
      <c r="O353" s="175">
        <f t="shared" ca="1" si="104"/>
        <v>0</v>
      </c>
      <c r="P353" s="175"/>
    </row>
    <row r="354" spans="1:16" ht="21.75" customHeight="1" x14ac:dyDescent="0.35">
      <c r="A354" s="162"/>
      <c r="B354" s="163"/>
      <c r="C354" s="163"/>
      <c r="D354" s="170"/>
      <c r="E354" s="171"/>
      <c r="F354" s="171"/>
      <c r="G354" s="380" t="s">
        <v>130</v>
      </c>
      <c r="H354" s="165" t="s">
        <v>12</v>
      </c>
      <c r="I354" s="166"/>
      <c r="J354" s="166"/>
      <c r="K354" s="167"/>
      <c r="L354" s="175">
        <f ca="1">IFERROR(__xludf.DUMMYFUNCTION("IMPORTRANGE(""https://docs.google.com/spreadsheets/d/1IYY_tgx_IHuhSq3AJ5eI5OnqOPBNLWSHKh2a30DoXe8/edit?usp=sharing"",""พัทลุง!L249"")"),334640)</f>
        <v>334640</v>
      </c>
      <c r="M354" s="175"/>
      <c r="N354" s="172">
        <f ca="1">IFERROR(__xludf.DUMMYFUNCTION("IMPORTRANGE(""https://docs.google.com/spreadsheets/d/1IYY_tgx_IHuhSq3AJ5eI5OnqOPBNLWSHKh2a30DoXe8/edit?usp=sharing"",""พัทลุง!M249"")"),222190.68)</f>
        <v>222190.68</v>
      </c>
      <c r="O354" s="175">
        <f t="shared" ca="1" si="104"/>
        <v>66.396928042075061</v>
      </c>
      <c r="P354" s="175"/>
    </row>
    <row r="355" spans="1:16" ht="21.75" customHeight="1" x14ac:dyDescent="0.35">
      <c r="A355" s="381"/>
      <c r="B355" s="382"/>
      <c r="C355" s="163"/>
      <c r="D355" s="383"/>
      <c r="E355" s="171"/>
      <c r="F355" s="171"/>
      <c r="G355" s="384" t="s">
        <v>131</v>
      </c>
      <c r="H355" s="165" t="s">
        <v>12</v>
      </c>
      <c r="I355" s="194"/>
      <c r="J355" s="194"/>
      <c r="K355" s="230"/>
      <c r="L355" s="175"/>
      <c r="M355" s="175"/>
      <c r="N355" s="385">
        <f ca="1">IFERROR(__xludf.DUMMYFUNCTION("IMPORTRANGE(""https://docs.google.com/spreadsheets/d/1IYY_tgx_IHuhSq3AJ5eI5OnqOPBNLWSHKh2a30DoXe8/edit?usp=sharing"",""พัทลุง!M250"")"),41180)</f>
        <v>41180</v>
      </c>
      <c r="O355" s="175"/>
      <c r="P355" s="175"/>
    </row>
    <row r="356" spans="1:16" ht="21.75" customHeight="1" x14ac:dyDescent="0.35">
      <c r="A356" s="381"/>
      <c r="B356" s="382"/>
      <c r="C356" s="163"/>
      <c r="D356" s="383"/>
      <c r="E356" s="171"/>
      <c r="F356" s="171"/>
      <c r="G356" s="384" t="s">
        <v>132</v>
      </c>
      <c r="H356" s="165" t="s">
        <v>12</v>
      </c>
      <c r="I356" s="194"/>
      <c r="J356" s="194"/>
      <c r="K356" s="230"/>
      <c r="L356" s="175"/>
      <c r="M356" s="175"/>
      <c r="N356" s="385">
        <f ca="1">IFERROR(__xludf.DUMMYFUNCTION("IMPORTRANGE(""https://docs.google.com/spreadsheets/d/1IYY_tgx_IHuhSq3AJ5eI5OnqOPBNLWSHKh2a30DoXe8/edit?usp=sharing"",""พัทลุง!M251"")"),116600)</f>
        <v>116600</v>
      </c>
      <c r="O356" s="175"/>
      <c r="P356" s="175"/>
    </row>
    <row r="357" spans="1:16" ht="21.75" customHeight="1" x14ac:dyDescent="0.35">
      <c r="A357" s="381"/>
      <c r="B357" s="382"/>
      <c r="C357" s="163"/>
      <c r="D357" s="383"/>
      <c r="E357" s="171"/>
      <c r="F357" s="171"/>
      <c r="G357" s="384" t="s">
        <v>133</v>
      </c>
      <c r="H357" s="165" t="s">
        <v>12</v>
      </c>
      <c r="I357" s="194"/>
      <c r="J357" s="194"/>
      <c r="K357" s="230"/>
      <c r="L357" s="175"/>
      <c r="M357" s="175"/>
      <c r="N357" s="385">
        <f ca="1">IFERROR(__xludf.DUMMYFUNCTION("IMPORTRANGE(""https://docs.google.com/spreadsheets/d/1IYY_tgx_IHuhSq3AJ5eI5OnqOPBNLWSHKh2a30DoXe8/edit?usp=sharing"",""พัทลุง!M252"")"),53580.68)</f>
        <v>53580.68</v>
      </c>
      <c r="O357" s="175"/>
      <c r="P357" s="175"/>
    </row>
    <row r="358" spans="1:16" ht="21.75" customHeight="1" x14ac:dyDescent="0.35">
      <c r="A358" s="381"/>
      <c r="B358" s="382"/>
      <c r="C358" s="163"/>
      <c r="D358" s="383"/>
      <c r="E358" s="171"/>
      <c r="F358" s="171"/>
      <c r="G358" s="384" t="s">
        <v>134</v>
      </c>
      <c r="H358" s="165" t="s">
        <v>12</v>
      </c>
      <c r="I358" s="194"/>
      <c r="J358" s="194"/>
      <c r="K358" s="230"/>
      <c r="L358" s="175"/>
      <c r="M358" s="175"/>
      <c r="N358" s="385">
        <f ca="1">IFERROR(__xludf.DUMMYFUNCTION("IMPORTRANGE(""https://docs.google.com/spreadsheets/d/1IYY_tgx_IHuhSq3AJ5eI5OnqOPBNLWSHKh2a30DoXe8/edit?usp=sharing"",""พัทลุง!M253"")"),10830)</f>
        <v>10830</v>
      </c>
      <c r="O358" s="175"/>
      <c r="P358" s="175"/>
    </row>
    <row r="359" spans="1:16" ht="21.75" customHeight="1" x14ac:dyDescent="0.35">
      <c r="A359" s="182"/>
      <c r="B359" s="183"/>
      <c r="C359" s="163" t="s">
        <v>16</v>
      </c>
      <c r="D359" s="184" t="s">
        <v>43</v>
      </c>
      <c r="E359" s="185"/>
      <c r="F359" s="185"/>
      <c r="G359" s="186"/>
      <c r="H359" s="187"/>
      <c r="I359" s="166"/>
      <c r="J359" s="166"/>
      <c r="K359" s="167"/>
      <c r="L359" s="188"/>
      <c r="M359" s="188"/>
      <c r="N359" s="188"/>
      <c r="O359" s="188"/>
      <c r="P359" s="188"/>
    </row>
    <row r="360" spans="1:16" ht="21.75" customHeight="1" x14ac:dyDescent="0.35">
      <c r="A360" s="182"/>
      <c r="B360" s="183"/>
      <c r="C360" s="183"/>
      <c r="D360" s="189">
        <v>1</v>
      </c>
      <c r="E360" s="190" t="s">
        <v>44</v>
      </c>
      <c r="F360" s="191"/>
      <c r="G360" s="192"/>
      <c r="H360" s="193"/>
      <c r="I360" s="194"/>
      <c r="J360" s="204">
        <f ca="1">IFERROR(__xludf.DUMMYFUNCTION("IMPORTRANGE(""https://docs.google.com/spreadsheets/d/1IYY_tgx_IHuhSq3AJ5eI5OnqOPBNLWSHKh2a30DoXe8/edit?usp=sharing"",""พัทลุง!J255"")"),0)</f>
        <v>0</v>
      </c>
      <c r="K360" s="167"/>
      <c r="L360" s="188"/>
      <c r="M360" s="188"/>
      <c r="N360" s="188"/>
      <c r="O360" s="188"/>
      <c r="P360" s="188"/>
    </row>
    <row r="361" spans="1:16" ht="21.75" customHeight="1" x14ac:dyDescent="0.35">
      <c r="A361" s="182"/>
      <c r="B361" s="183"/>
      <c r="C361" s="183"/>
      <c r="D361" s="196">
        <v>2</v>
      </c>
      <c r="E361" s="197" t="s">
        <v>45</v>
      </c>
      <c r="F361" s="198"/>
      <c r="G361" s="199"/>
      <c r="H361" s="193"/>
      <c r="I361" s="194"/>
      <c r="J361" s="195">
        <f ca="1">IFERROR(__xludf.DUMMYFUNCTION("IMPORTRANGE(""https://docs.google.com/spreadsheets/d/1IYY_tgx_IHuhSq3AJ5eI5OnqOPBNLWSHKh2a30DoXe8/edit?usp=sharing"",""พัทลุง!J256"")"),1)</f>
        <v>1</v>
      </c>
      <c r="K361" s="167"/>
      <c r="L361" s="188" t="s">
        <v>39</v>
      </c>
      <c r="M361" s="188"/>
      <c r="N361" s="188" t="s">
        <v>39</v>
      </c>
      <c r="O361" s="188"/>
      <c r="P361" s="188"/>
    </row>
    <row r="362" spans="1:16" ht="21.75" customHeight="1" x14ac:dyDescent="0.35">
      <c r="A362" s="182"/>
      <c r="B362" s="183"/>
      <c r="C362" s="183"/>
      <c r="D362" s="200"/>
      <c r="E362" s="201" t="s">
        <v>46</v>
      </c>
      <c r="F362" s="202"/>
      <c r="G362" s="203"/>
      <c r="H362" s="193"/>
      <c r="I362" s="194"/>
      <c r="J362" s="195">
        <f ca="1">IFERROR(__xludf.DUMMYFUNCTION("IMPORTRANGE(""https://docs.google.com/spreadsheets/d/1IYY_tgx_IHuhSq3AJ5eI5OnqOPBNLWSHKh2a30DoXe8/edit?usp=sharing"",""พัทลุง!J257"")"),1)</f>
        <v>1</v>
      </c>
      <c r="K362" s="167"/>
      <c r="L362" s="188"/>
      <c r="M362" s="188"/>
      <c r="N362" s="188"/>
      <c r="O362" s="188"/>
      <c r="P362" s="188"/>
    </row>
    <row r="363" spans="1:16" ht="21.75" customHeight="1" x14ac:dyDescent="0.35">
      <c r="A363" s="182"/>
      <c r="B363" s="183"/>
      <c r="C363" s="183"/>
      <c r="D363" s="200"/>
      <c r="E363" s="201" t="s">
        <v>47</v>
      </c>
      <c r="F363" s="202"/>
      <c r="G363" s="203"/>
      <c r="H363" s="193"/>
      <c r="I363" s="194"/>
      <c r="J363" s="204">
        <f ca="1">IFERROR(__xludf.DUMMYFUNCTION("IMPORTRANGE(""https://docs.google.com/spreadsheets/d/1IYY_tgx_IHuhSq3AJ5eI5OnqOPBNLWSHKh2a30DoXe8/edit?usp=sharing"",""พัทลุง!J258"")"),1)</f>
        <v>1</v>
      </c>
      <c r="K363" s="167"/>
      <c r="L363" s="188"/>
      <c r="M363" s="188"/>
      <c r="N363" s="188"/>
      <c r="O363" s="188"/>
      <c r="P363" s="188"/>
    </row>
    <row r="364" spans="1:16" ht="21.75" hidden="1" customHeight="1" x14ac:dyDescent="0.35">
      <c r="A364" s="182"/>
      <c r="B364" s="183"/>
      <c r="C364" s="183"/>
      <c r="D364" s="200"/>
      <c r="E364" s="205"/>
      <c r="F364" s="201" t="s">
        <v>69</v>
      </c>
      <c r="G364" s="203"/>
      <c r="H364" s="187"/>
      <c r="I364" s="194"/>
      <c r="J364" s="194">
        <f ca="1">IFERROR(__xludf.DUMMYFUNCTION("IMPORTRANGE(""https://docs.google.com/spreadsheets/d/1IYY_tgx_IHuhSq3AJ5eI5OnqOPBNLWSHKh2a30DoXe8/edit?usp=sharing"",""พัทลุง!J166"")"),0)</f>
        <v>0</v>
      </c>
      <c r="K364" s="167"/>
      <c r="L364" s="188"/>
      <c r="M364" s="188"/>
      <c r="N364" s="188"/>
      <c r="O364" s="188"/>
      <c r="P364" s="188"/>
    </row>
    <row r="365" spans="1:16" ht="21.75" hidden="1" customHeight="1" x14ac:dyDescent="0.35">
      <c r="A365" s="182"/>
      <c r="B365" s="183"/>
      <c r="C365" s="183"/>
      <c r="D365" s="200"/>
      <c r="E365" s="205"/>
      <c r="F365" s="202"/>
      <c r="G365" s="232" t="s">
        <v>135</v>
      </c>
      <c r="H365" s="187" t="s">
        <v>37</v>
      </c>
      <c r="I365" s="194">
        <f ca="1">IFERROR(__xludf.DUMMYFUNCTION("IMPORTRANGE(""https://docs.google.com/spreadsheets/d/1C3CXT74ZlgGe6_JY_1olB1XN4rF0dxEuIIF-xsYjHgg/edit?usp=sharing"",""งบกองทุน!f63"")"),0)</f>
        <v>0</v>
      </c>
      <c r="J365" s="194">
        <f ca="1">IFERROR(__xludf.DUMMYFUNCTION("IMPORTRANGE(""https://docs.google.com/spreadsheets/d/1IYY_tgx_IHuhSq3AJ5eI5OnqOPBNLWSHKh2a30DoXe8/edit?usp=sharing"",""พัทลุง!J166"")"),0)</f>
        <v>0</v>
      </c>
      <c r="K365" s="167">
        <f ca="1">IF(I365&gt;0,J365*100/I365,0)</f>
        <v>0</v>
      </c>
      <c r="L365" s="188"/>
      <c r="M365" s="188"/>
      <c r="N365" s="188"/>
      <c r="O365" s="188"/>
      <c r="P365" s="188"/>
    </row>
    <row r="366" spans="1:16" ht="21.75" hidden="1" customHeight="1" x14ac:dyDescent="0.35">
      <c r="A366" s="182"/>
      <c r="B366" s="183"/>
      <c r="C366" s="183"/>
      <c r="D366" s="200"/>
      <c r="E366" s="205"/>
      <c r="F366" s="202"/>
      <c r="G366" s="203" t="s">
        <v>136</v>
      </c>
      <c r="H366" s="187"/>
      <c r="I366" s="166"/>
      <c r="J366" s="194">
        <f ca="1">IFERROR(__xludf.DUMMYFUNCTION("IMPORTRANGE(""https://docs.google.com/spreadsheets/d/1IYY_tgx_IHuhSq3AJ5eI5OnqOPBNLWSHKh2a30DoXe8/edit?usp=sharing"",""พัทลุง!J166"")"),0)</f>
        <v>0</v>
      </c>
      <c r="K366" s="167"/>
      <c r="L366" s="188"/>
      <c r="M366" s="188"/>
      <c r="N366" s="188"/>
      <c r="O366" s="188"/>
      <c r="P366" s="188"/>
    </row>
    <row r="367" spans="1:16" ht="21.75" hidden="1" customHeight="1" x14ac:dyDescent="0.35">
      <c r="A367" s="182"/>
      <c r="B367" s="183"/>
      <c r="C367" s="183"/>
      <c r="D367" s="200"/>
      <c r="E367" s="205"/>
      <c r="F367" s="202"/>
      <c r="G367" s="232" t="s">
        <v>137</v>
      </c>
      <c r="H367" s="193" t="s">
        <v>122</v>
      </c>
      <c r="I367" s="194">
        <f ca="1">SUM(I369,I371)</f>
        <v>0</v>
      </c>
      <c r="J367" s="194">
        <f ca="1">IFERROR(__xludf.DUMMYFUNCTION("IMPORTRANGE(""https://docs.google.com/spreadsheets/d/1IYY_tgx_IHuhSq3AJ5eI5OnqOPBNLWSHKh2a30DoXe8/edit?usp=sharing"",""พัทลุง!J166"")"),0)</f>
        <v>0</v>
      </c>
      <c r="K367" s="167">
        <f t="shared" ref="K367:K373" ca="1" si="105">IF(I367&gt;0,J367*100/I367,0)</f>
        <v>0</v>
      </c>
      <c r="L367" s="188"/>
      <c r="M367" s="188"/>
      <c r="N367" s="188"/>
      <c r="O367" s="188"/>
      <c r="P367" s="188"/>
    </row>
    <row r="368" spans="1:16" ht="21.75" customHeight="1" x14ac:dyDescent="0.35">
      <c r="A368" s="182"/>
      <c r="B368" s="183"/>
      <c r="C368" s="183"/>
      <c r="D368" s="200"/>
      <c r="E368" s="205"/>
      <c r="F368" s="386" t="s">
        <v>138</v>
      </c>
      <c r="G368" s="387"/>
      <c r="H368" s="193" t="s">
        <v>37</v>
      </c>
      <c r="I368" s="166">
        <f ca="1">IFERROR(__xludf.DUMMYFUNCTION("IMPORTRANGE(""https://docs.google.com/spreadsheets/d/1IYY_tgx_IHuhSq3AJ5eI5OnqOPBNLWSHKh2a30DoXe8/edit?usp=sharing"",""พัทลุง!I263"")"),32)</f>
        <v>32</v>
      </c>
      <c r="J368" s="194">
        <f ca="1">IFERROR(__xludf.DUMMYFUNCTION("IMPORTRANGE(""https://docs.google.com/spreadsheets/d/1IYY_tgx_IHuhSq3AJ5eI5OnqOPBNLWSHKh2a30DoXe8/edit?usp=sharing"",""พัทลุง!J263"")"),32)</f>
        <v>32</v>
      </c>
      <c r="K368" s="167">
        <f t="shared" ca="1" si="105"/>
        <v>100</v>
      </c>
      <c r="L368" s="188"/>
      <c r="M368" s="188"/>
      <c r="N368" s="188"/>
      <c r="O368" s="188"/>
      <c r="P368" s="188"/>
    </row>
    <row r="369" spans="1:16" ht="21.75" hidden="1" customHeight="1" x14ac:dyDescent="0.35">
      <c r="A369" s="182"/>
      <c r="B369" s="183"/>
      <c r="C369" s="183"/>
      <c r="D369" s="200"/>
      <c r="E369" s="205"/>
      <c r="F369" s="202"/>
      <c r="G369" s="387"/>
      <c r="H369" s="187" t="s">
        <v>122</v>
      </c>
      <c r="I369" s="166">
        <f ca="1">IFERROR(__xludf.DUMMYFUNCTION("IMPORTRANGE(""https://docs.google.com/spreadsheets/d/1IYY_tgx_IHuhSq3AJ5eI5OnqOPBNLWSHKh2a30DoXe8/edit?usp=sharing"",""พัทลุง!I164"")"),0)</f>
        <v>0</v>
      </c>
      <c r="J369" s="210">
        <f ca="1">IFERROR(__xludf.DUMMYFUNCTION("IMPORTRANGE(""https://docs.google.com/spreadsheets/d/1IYY_tgx_IHuhSq3AJ5eI5OnqOPBNLWSHKh2a30DoXe8/edit?usp=sharing"",""พัทลุง!J164"")"),0)</f>
        <v>0</v>
      </c>
      <c r="K369" s="167">
        <f t="shared" ca="1" si="105"/>
        <v>0</v>
      </c>
      <c r="L369" s="188"/>
      <c r="M369" s="188"/>
      <c r="N369" s="188"/>
      <c r="O369" s="188"/>
      <c r="P369" s="188"/>
    </row>
    <row r="370" spans="1:16" ht="21.75" customHeight="1" x14ac:dyDescent="0.35">
      <c r="A370" s="182"/>
      <c r="B370" s="183"/>
      <c r="C370" s="183"/>
      <c r="D370" s="200"/>
      <c r="E370" s="205"/>
      <c r="F370" s="202"/>
      <c r="G370" s="386" t="s">
        <v>139</v>
      </c>
      <c r="H370" s="187" t="s">
        <v>37</v>
      </c>
      <c r="I370" s="166">
        <f ca="1">IFERROR(__xludf.DUMMYFUNCTION("IMPORTRANGE(""https://docs.google.com/spreadsheets/d/1IYY_tgx_IHuhSq3AJ5eI5OnqOPBNLWSHKh2a30DoXe8/edit?usp=sharing"",""พัทลุง!I265"")"),32)</f>
        <v>32</v>
      </c>
      <c r="J370" s="210">
        <f ca="1">IFERROR(__xludf.DUMMYFUNCTION("IMPORTRANGE(""https://docs.google.com/spreadsheets/d/1IYY_tgx_IHuhSq3AJ5eI5OnqOPBNLWSHKh2a30DoXe8/edit?usp=sharing"",""พัทลุง!J265"")"),32)</f>
        <v>32</v>
      </c>
      <c r="K370" s="167">
        <f t="shared" ca="1" si="105"/>
        <v>100</v>
      </c>
      <c r="L370" s="188"/>
      <c r="M370" s="188"/>
      <c r="N370" s="188"/>
      <c r="O370" s="188"/>
      <c r="P370" s="188"/>
    </row>
    <row r="371" spans="1:16" ht="21.75" hidden="1" customHeight="1" x14ac:dyDescent="0.35">
      <c r="A371" s="182"/>
      <c r="B371" s="183"/>
      <c r="C371" s="183"/>
      <c r="D371" s="200"/>
      <c r="E371" s="205"/>
      <c r="F371" s="202"/>
      <c r="G371" s="387"/>
      <c r="H371" s="187" t="s">
        <v>122</v>
      </c>
      <c r="I371" s="166">
        <f ca="1">IFERROR(__xludf.DUMMYFUNCTION("IMPORTRANGE(""https://docs.google.com/spreadsheets/d/1IYY_tgx_IHuhSq3AJ5eI5OnqOPBNLWSHKh2a30DoXe8/edit?usp=sharing"",""พัทลุง!I164"")"),0)</f>
        <v>0</v>
      </c>
      <c r="J371" s="195">
        <f ca="1">IFERROR(__xludf.DUMMYFUNCTION("IMPORTRANGE(""https://docs.google.com/spreadsheets/d/1IYY_tgx_IHuhSq3AJ5eI5OnqOPBNLWSHKh2a30DoXe8/edit?usp=sharing"",""พัทลุง!J164"")"),0)</f>
        <v>0</v>
      </c>
      <c r="K371" s="167">
        <f t="shared" ca="1" si="105"/>
        <v>0</v>
      </c>
      <c r="L371" s="188"/>
      <c r="M371" s="188"/>
      <c r="N371" s="188"/>
      <c r="O371" s="188"/>
      <c r="P371" s="188"/>
    </row>
    <row r="372" spans="1:16" ht="21.75" customHeight="1" x14ac:dyDescent="0.35">
      <c r="A372" s="182"/>
      <c r="B372" s="183"/>
      <c r="C372" s="183"/>
      <c r="D372" s="200"/>
      <c r="E372" s="205"/>
      <c r="F372" s="202"/>
      <c r="G372" s="386" t="s">
        <v>140</v>
      </c>
      <c r="H372" s="187" t="s">
        <v>37</v>
      </c>
      <c r="I372" s="166">
        <f ca="1">IFERROR(__xludf.DUMMYFUNCTION("IMPORTRANGE(""https://docs.google.com/spreadsheets/d/1IYY_tgx_IHuhSq3AJ5eI5OnqOPBNLWSHKh2a30DoXe8/edit?usp=sharing"",""พัทลุง!I267"")"),32)</f>
        <v>32</v>
      </c>
      <c r="J372" s="195">
        <f ca="1">IFERROR(__xludf.DUMMYFUNCTION("IMPORTRANGE(""https://docs.google.com/spreadsheets/d/1IYY_tgx_IHuhSq3AJ5eI5OnqOPBNLWSHKh2a30DoXe8/edit?usp=sharing"",""พัทลุง!J267"")"),32)</f>
        <v>32</v>
      </c>
      <c r="K372" s="167">
        <f t="shared" ca="1" si="105"/>
        <v>100</v>
      </c>
      <c r="L372" s="188"/>
      <c r="M372" s="188"/>
      <c r="N372" s="188"/>
      <c r="O372" s="188"/>
      <c r="P372" s="188"/>
    </row>
    <row r="373" spans="1:16" ht="21.75" hidden="1" customHeight="1" x14ac:dyDescent="0.35">
      <c r="A373" s="182"/>
      <c r="B373" s="183"/>
      <c r="C373" s="183"/>
      <c r="D373" s="200"/>
      <c r="E373" s="205"/>
      <c r="F373" s="202"/>
      <c r="G373" s="232" t="s">
        <v>141</v>
      </c>
      <c r="H373" s="187" t="s">
        <v>37</v>
      </c>
      <c r="I373" s="194">
        <f ca="1">IFERROR(__xludf.DUMMYFUNCTION("IMPORTRANGE(""https://docs.google.com/spreadsheets/d/1IYY_tgx_IHuhSq3AJ5eI5OnqOPBNLWSHKh2a30DoXe8/edit?usp=sharing"",""พัทลุง!I164"")"),0)</f>
        <v>0</v>
      </c>
      <c r="J373" s="210">
        <f ca="1">IFERROR(__xludf.DUMMYFUNCTION("IMPORTRANGE(""https://docs.google.com/spreadsheets/d/1IYY_tgx_IHuhSq3AJ5eI5OnqOPBNLWSHKh2a30DoXe8/edit?usp=sharing"",""พัทลุง!J164"")"),0)</f>
        <v>0</v>
      </c>
      <c r="K373" s="167">
        <f t="shared" ca="1" si="105"/>
        <v>0</v>
      </c>
      <c r="L373" s="188"/>
      <c r="M373" s="188"/>
      <c r="N373" s="188"/>
      <c r="O373" s="188"/>
      <c r="P373" s="188"/>
    </row>
    <row r="374" spans="1:16" ht="21.75" hidden="1" customHeight="1" x14ac:dyDescent="0.35">
      <c r="A374" s="182"/>
      <c r="B374" s="183"/>
      <c r="C374" s="183"/>
      <c r="D374" s="200"/>
      <c r="E374" s="205"/>
      <c r="F374" s="202"/>
      <c r="G374" s="203" t="s">
        <v>142</v>
      </c>
      <c r="H374" s="187"/>
      <c r="I374" s="194">
        <f ca="1">IFERROR(__xludf.DUMMYFUNCTION("IMPORTRANGE(""https://docs.google.com/spreadsheets/d/1IYY_tgx_IHuhSq3AJ5eI5OnqOPBNLWSHKh2a30DoXe8/edit?usp=sharing"",""พัทลุง!I164"")"),0)</f>
        <v>0</v>
      </c>
      <c r="J374" s="194">
        <f ca="1">IFERROR(__xludf.DUMMYFUNCTION("IMPORTRANGE(""https://docs.google.com/spreadsheets/d/1IYY_tgx_IHuhSq3AJ5eI5OnqOPBNLWSHKh2a30DoXe8/edit?usp=sharing"",""พัทลุง!J164"")"),0)</f>
        <v>0</v>
      </c>
      <c r="K374" s="167"/>
      <c r="L374" s="188"/>
      <c r="M374" s="188"/>
      <c r="N374" s="188"/>
      <c r="O374" s="188"/>
      <c r="P374" s="188"/>
    </row>
    <row r="375" spans="1:16" ht="21.75" customHeight="1" x14ac:dyDescent="0.35">
      <c r="A375" s="182"/>
      <c r="B375" s="183"/>
      <c r="C375" s="183"/>
      <c r="D375" s="200"/>
      <c r="E375" s="202"/>
      <c r="F375" s="211" t="s">
        <v>52</v>
      </c>
      <c r="G375" s="203"/>
      <c r="H375" s="286" t="s">
        <v>122</v>
      </c>
      <c r="I375" s="194">
        <f ca="1">IFERROR(__xludf.DUMMYFUNCTION("IMPORTRANGE(""https://docs.google.com/spreadsheets/d/1IYY_tgx_IHuhSq3AJ5eI5OnqOPBNLWSHKh2a30DoXe8/edit?usp=sharing"",""พัทลุง!I270"")"),128)</f>
        <v>128</v>
      </c>
      <c r="J375" s="194">
        <f ca="1">IFERROR(__xludf.DUMMYFUNCTION("IMPORTRANGE(""https://docs.google.com/spreadsheets/d/1IYY_tgx_IHuhSq3AJ5eI5OnqOPBNLWSHKh2a30DoXe8/edit?usp=sharing"",""พัทลุง!J270"")"),128)</f>
        <v>128</v>
      </c>
      <c r="K375" s="167">
        <f t="shared" ref="K375:K377" ca="1" si="106">IF(I375&gt;0,J375*100/I375,0)</f>
        <v>100</v>
      </c>
      <c r="L375" s="188"/>
      <c r="M375" s="188"/>
      <c r="N375" s="188"/>
      <c r="O375" s="188"/>
      <c r="P375" s="188"/>
    </row>
    <row r="376" spans="1:16" ht="21.75" customHeight="1" x14ac:dyDescent="0.35">
      <c r="A376" s="182"/>
      <c r="B376" s="183"/>
      <c r="C376" s="183"/>
      <c r="D376" s="200"/>
      <c r="E376" s="202"/>
      <c r="F376" s="202"/>
      <c r="G376" s="287" t="s">
        <v>143</v>
      </c>
      <c r="H376" s="286" t="s">
        <v>122</v>
      </c>
      <c r="I376" s="194">
        <f ca="1">IFERROR(__xludf.DUMMYFUNCTION("IMPORTRANGE(""https://docs.google.com/spreadsheets/d/1IYY_tgx_IHuhSq3AJ5eI5OnqOPBNLWSHKh2a30DoXe8/edit?usp=sharing"",""พัทลุง!I271"")"),40)</f>
        <v>40</v>
      </c>
      <c r="J376" s="195">
        <f ca="1">IFERROR(__xludf.DUMMYFUNCTION("IMPORTRANGE(""https://docs.google.com/spreadsheets/d/1IYY_tgx_IHuhSq3AJ5eI5OnqOPBNLWSHKh2a30DoXe8/edit?usp=sharing"",""พัทลุง!J271"")"),40)</f>
        <v>40</v>
      </c>
      <c r="K376" s="167">
        <f t="shared" ca="1" si="106"/>
        <v>100</v>
      </c>
      <c r="L376" s="188"/>
      <c r="M376" s="188"/>
      <c r="N376" s="188"/>
      <c r="O376" s="188"/>
      <c r="P376" s="188"/>
    </row>
    <row r="377" spans="1:16" ht="21.75" customHeight="1" x14ac:dyDescent="0.35">
      <c r="A377" s="182"/>
      <c r="B377" s="183"/>
      <c r="C377" s="183"/>
      <c r="D377" s="200"/>
      <c r="E377" s="202"/>
      <c r="F377" s="202"/>
      <c r="G377" s="287" t="s">
        <v>144</v>
      </c>
      <c r="H377" s="286" t="s">
        <v>122</v>
      </c>
      <c r="I377" s="194">
        <f ca="1">IFERROR(__xludf.DUMMYFUNCTION("IMPORTRANGE(""https://docs.google.com/spreadsheets/d/1IYY_tgx_IHuhSq3AJ5eI5OnqOPBNLWSHKh2a30DoXe8/edit?usp=sharing"",""พัทลุง!I272"")"),88)</f>
        <v>88</v>
      </c>
      <c r="J377" s="210">
        <f ca="1">IFERROR(__xludf.DUMMYFUNCTION("IMPORTRANGE(""https://docs.google.com/spreadsheets/d/1IYY_tgx_IHuhSq3AJ5eI5OnqOPBNLWSHKh2a30DoXe8/edit?usp=sharing"",""พัทลุง!J272"")"),88)</f>
        <v>88</v>
      </c>
      <c r="K377" s="167">
        <f t="shared" ca="1" si="106"/>
        <v>100</v>
      </c>
      <c r="L377" s="188"/>
      <c r="M377" s="188"/>
      <c r="N377" s="188"/>
      <c r="O377" s="188"/>
      <c r="P377" s="188"/>
    </row>
    <row r="378" spans="1:16" ht="21.75" customHeight="1" x14ac:dyDescent="0.35">
      <c r="A378" s="182"/>
      <c r="B378" s="183"/>
      <c r="C378" s="183"/>
      <c r="D378" s="200"/>
      <c r="E378" s="201" t="s">
        <v>53</v>
      </c>
      <c r="F378" s="202"/>
      <c r="G378" s="203"/>
      <c r="H378" s="193"/>
      <c r="I378" s="194"/>
      <c r="J378" s="204">
        <f ca="1">IFERROR(__xludf.DUMMYFUNCTION("IMPORTRANGE(""https://docs.google.com/spreadsheets/d/1IYY_tgx_IHuhSq3AJ5eI5OnqOPBNLWSHKh2a30DoXe8/edit?usp=sharing"",""พัทลุง!J273"")"),0)</f>
        <v>0</v>
      </c>
      <c r="K378" s="167"/>
      <c r="L378" s="188"/>
      <c r="M378" s="188"/>
      <c r="N378" s="188"/>
      <c r="O378" s="188"/>
      <c r="P378" s="188"/>
    </row>
    <row r="379" spans="1:16" ht="21.75" customHeight="1" x14ac:dyDescent="0.35">
      <c r="A379" s="182"/>
      <c r="B379" s="183"/>
      <c r="C379" s="183"/>
      <c r="D379" s="212">
        <v>3</v>
      </c>
      <c r="E379" s="213" t="s">
        <v>54</v>
      </c>
      <c r="F379" s="214"/>
      <c r="G379" s="215"/>
      <c r="H379" s="193"/>
      <c r="I379" s="194"/>
      <c r="J379" s="216">
        <f ca="1">IFERROR(__xludf.DUMMYFUNCTION("IMPORTRANGE(""https://docs.google.com/spreadsheets/d/1IYY_tgx_IHuhSq3AJ5eI5OnqOPBNLWSHKh2a30DoXe8/edit?usp=sharing"",""พัทลุง!J274"")"),0)</f>
        <v>0</v>
      </c>
      <c r="K379" s="167"/>
      <c r="L379" s="188"/>
      <c r="M379" s="188"/>
      <c r="N379" s="188"/>
      <c r="O379" s="188"/>
      <c r="P379" s="188"/>
    </row>
    <row r="380" spans="1:16" ht="21.75" customHeight="1" x14ac:dyDescent="0.35">
      <c r="A380" s="372"/>
      <c r="B380" s="373">
        <v>2</v>
      </c>
      <c r="C380" s="374" t="s">
        <v>145</v>
      </c>
      <c r="D380" s="374"/>
      <c r="E380" s="388"/>
      <c r="F380" s="388"/>
      <c r="G380" s="389"/>
      <c r="H380" s="376" t="s">
        <v>122</v>
      </c>
      <c r="I380" s="377">
        <f ca="1">IFERROR(__xludf.DUMMYFUNCTION("IMPORTRANGE(""https://docs.google.com/spreadsheets/d/1IYY_tgx_IHuhSq3AJ5eI5OnqOPBNLWSHKh2a30DoXe8/edit?usp=sharing"",""พัทลุง!I275"")"),300)</f>
        <v>300</v>
      </c>
      <c r="J380" s="377">
        <f ca="1">IFERROR(__xludf.DUMMYFUNCTION("IMPORTRANGE(""https://docs.google.com/spreadsheets/d/1IYY_tgx_IHuhSq3AJ5eI5OnqOPBNLWSHKh2a30DoXe8/edit?usp=sharing"",""พัทลุง!J275"")"),0)</f>
        <v>0</v>
      </c>
      <c r="K380" s="378">
        <f t="shared" ref="K380:K381" ca="1" si="107">IF(I380&gt;0,J380*100/I380,0)</f>
        <v>0</v>
      </c>
      <c r="L380" s="379">
        <f ca="1">IFERROR(__xludf.DUMMYFUNCTION("IMPORTRANGE(""https://docs.google.com/spreadsheets/d/1IYY_tgx_IHuhSq3AJ5eI5OnqOPBNLWSHKh2a30DoXe8/edit?usp=sharing"",""พัทลุง!L275"")"),293900)</f>
        <v>293900</v>
      </c>
      <c r="M380" s="379"/>
      <c r="N380" s="379">
        <f ca="1">IFERROR(__xludf.DUMMYFUNCTION("IMPORTRANGE(""https://docs.google.com/spreadsheets/d/1IYY_tgx_IHuhSq3AJ5eI5OnqOPBNLWSHKh2a30DoXe8/edit?usp=sharing"",""พัทลุง!M275"")"),59590)</f>
        <v>59590</v>
      </c>
      <c r="O380" s="379">
        <f ca="1">+IF(L380&gt;0,N380*100/L380,0)</f>
        <v>20.275603946920722</v>
      </c>
      <c r="P380" s="379"/>
    </row>
    <row r="381" spans="1:16" ht="21.75" customHeight="1" x14ac:dyDescent="0.35">
      <c r="A381" s="372"/>
      <c r="B381" s="373"/>
      <c r="C381" s="374"/>
      <c r="D381" s="390"/>
      <c r="E381" s="391"/>
      <c r="F381" s="391"/>
      <c r="G381" s="392"/>
      <c r="H381" s="376" t="s">
        <v>37</v>
      </c>
      <c r="I381" s="377">
        <f ca="1">IFERROR(__xludf.DUMMYFUNCTION("IMPORTRANGE(""https://docs.google.com/spreadsheets/d/1IYY_tgx_IHuhSq3AJ5eI5OnqOPBNLWSHKh2a30DoXe8/edit?usp=sharing"",""พัทลุง!I276"")"),30)</f>
        <v>30</v>
      </c>
      <c r="J381" s="377">
        <f ca="1">IFERROR(__xludf.DUMMYFUNCTION("IMPORTRANGE(""https://docs.google.com/spreadsheets/d/1IYY_tgx_IHuhSq3AJ5eI5OnqOPBNLWSHKh2a30DoXe8/edit?usp=sharing"",""พัทลุง!J276"")"),30)</f>
        <v>30</v>
      </c>
      <c r="K381" s="378">
        <f t="shared" ca="1" si="107"/>
        <v>100</v>
      </c>
      <c r="L381" s="379"/>
      <c r="M381" s="379"/>
      <c r="N381" s="379"/>
      <c r="O381" s="379"/>
      <c r="P381" s="379"/>
    </row>
    <row r="382" spans="1:16" ht="21.75" customHeight="1" x14ac:dyDescent="0.35">
      <c r="A382" s="162"/>
      <c r="B382" s="163"/>
      <c r="C382" s="163" t="s">
        <v>16</v>
      </c>
      <c r="D382" s="284" t="s">
        <v>77</v>
      </c>
      <c r="E382" s="171"/>
      <c r="F382" s="171"/>
      <c r="G382" s="164" t="s">
        <v>38</v>
      </c>
      <c r="H382" s="165" t="s">
        <v>12</v>
      </c>
      <c r="I382" s="166" t="s">
        <v>39</v>
      </c>
      <c r="J382" s="166"/>
      <c r="K382" s="167"/>
      <c r="L382" s="168">
        <f ca="1">IFERROR(__xludf.DUMMYFUNCTION("IMPORTRANGE(""https://docs.google.com/spreadsheets/d/1IYY_tgx_IHuhSq3AJ5eI5OnqOPBNLWSHKh2a30DoXe8/edit?usp=sharing"",""พัทลุง!L277"")"),0)</f>
        <v>0</v>
      </c>
      <c r="M382" s="168"/>
      <c r="N382" s="168">
        <f ca="1">IFERROR(__xludf.DUMMYFUNCTION("IMPORTRANGE(""https://docs.google.com/spreadsheets/d/1IYY_tgx_IHuhSq3AJ5eI5OnqOPBNLWSHKh2a30DoXe8/edit?usp=sharing"",""พัทลุง!M277"")"),0)</f>
        <v>0</v>
      </c>
      <c r="O382" s="169">
        <f t="shared" ref="O382:O385" ca="1" si="108">+IF(L382&gt;0,N382*100/L382,0)</f>
        <v>0</v>
      </c>
      <c r="P382" s="169"/>
    </row>
    <row r="383" spans="1:16" ht="21.75" customHeight="1" x14ac:dyDescent="0.35">
      <c r="A383" s="162"/>
      <c r="B383" s="163"/>
      <c r="C383" s="163"/>
      <c r="D383" s="170"/>
      <c r="E383" s="171"/>
      <c r="F383" s="171" t="s">
        <v>39</v>
      </c>
      <c r="G383" s="164" t="s">
        <v>40</v>
      </c>
      <c r="H383" s="165" t="s">
        <v>12</v>
      </c>
      <c r="I383" s="166"/>
      <c r="J383" s="166"/>
      <c r="K383" s="167"/>
      <c r="L383" s="169">
        <f ca="1">IFERROR(__xludf.DUMMYFUNCTION("IMPORTRANGE(""https://docs.google.com/spreadsheets/d/1IYY_tgx_IHuhSq3AJ5eI5OnqOPBNLWSHKh2a30DoXe8/edit?usp=sharing"",""พัทลุง!L278"")"),293900)</f>
        <v>293900</v>
      </c>
      <c r="M383" s="169"/>
      <c r="N383" s="169">
        <f ca="1">IFERROR(__xludf.DUMMYFUNCTION("IMPORTRANGE(""https://docs.google.com/spreadsheets/d/1IYY_tgx_IHuhSq3AJ5eI5OnqOPBNLWSHKh2a30DoXe8/edit?usp=sharing"",""พัทลุง!M278"")"),59590)</f>
        <v>59590</v>
      </c>
      <c r="O383" s="169">
        <f t="shared" ca="1" si="108"/>
        <v>20.275603946920722</v>
      </c>
      <c r="P383" s="169"/>
    </row>
    <row r="384" spans="1:16" ht="21.75" customHeight="1" x14ac:dyDescent="0.35">
      <c r="A384" s="162"/>
      <c r="B384" s="163"/>
      <c r="C384" s="163"/>
      <c r="D384" s="170"/>
      <c r="E384" s="171"/>
      <c r="F384" s="171"/>
      <c r="G384" s="380" t="s">
        <v>129</v>
      </c>
      <c r="H384" s="165" t="s">
        <v>12</v>
      </c>
      <c r="I384" s="166"/>
      <c r="J384" s="166"/>
      <c r="K384" s="167"/>
      <c r="L384" s="175">
        <f ca="1">IFERROR(__xludf.DUMMYFUNCTION("IMPORTRANGE(""https://docs.google.com/spreadsheets/d/1IYY_tgx_IHuhSq3AJ5eI5OnqOPBNLWSHKh2a30DoXe8/edit?usp=sharing"",""พัทลุง!L279"")"),0)</f>
        <v>0</v>
      </c>
      <c r="M384" s="175"/>
      <c r="N384" s="175">
        <f ca="1">IFERROR(__xludf.DUMMYFUNCTION("IMPORTRANGE(""https://docs.google.com/spreadsheets/d/1IYY_tgx_IHuhSq3AJ5eI5OnqOPBNLWSHKh2a30DoXe8/edit?usp=sharing"",""พัทลุง!M279"")"),0)</f>
        <v>0</v>
      </c>
      <c r="O384" s="175">
        <f t="shared" ca="1" si="108"/>
        <v>0</v>
      </c>
      <c r="P384" s="175"/>
    </row>
    <row r="385" spans="1:16" ht="21.75" customHeight="1" x14ac:dyDescent="0.35">
      <c r="A385" s="162"/>
      <c r="B385" s="163"/>
      <c r="C385" s="163"/>
      <c r="D385" s="170"/>
      <c r="E385" s="171"/>
      <c r="F385" s="171"/>
      <c r="G385" s="380" t="s">
        <v>130</v>
      </c>
      <c r="H385" s="165" t="s">
        <v>12</v>
      </c>
      <c r="I385" s="166"/>
      <c r="J385" s="166"/>
      <c r="K385" s="167"/>
      <c r="L385" s="175">
        <f ca="1">IFERROR(__xludf.DUMMYFUNCTION("IMPORTRANGE(""https://docs.google.com/spreadsheets/d/1IYY_tgx_IHuhSq3AJ5eI5OnqOPBNLWSHKh2a30DoXe8/edit?usp=sharing"",""พัทลุง!L280"")"),293900)</f>
        <v>293900</v>
      </c>
      <c r="M385" s="175"/>
      <c r="N385" s="172">
        <f ca="1">IFERROR(__xludf.DUMMYFUNCTION("IMPORTRANGE(""https://docs.google.com/spreadsheets/d/1IYY_tgx_IHuhSq3AJ5eI5OnqOPBNLWSHKh2a30DoXe8/edit?usp=sharing"",""พัทลุง!M280"")"),59590)</f>
        <v>59590</v>
      </c>
      <c r="O385" s="175">
        <f t="shared" ca="1" si="108"/>
        <v>20.275603946920722</v>
      </c>
      <c r="P385" s="175"/>
    </row>
    <row r="386" spans="1:16" ht="21.75" customHeight="1" x14ac:dyDescent="0.35">
      <c r="A386" s="381"/>
      <c r="B386" s="382"/>
      <c r="C386" s="163"/>
      <c r="D386" s="383"/>
      <c r="E386" s="171"/>
      <c r="F386" s="171"/>
      <c r="G386" s="384" t="s">
        <v>131</v>
      </c>
      <c r="H386" s="165" t="s">
        <v>12</v>
      </c>
      <c r="I386" s="194"/>
      <c r="J386" s="194"/>
      <c r="K386" s="230"/>
      <c r="L386" s="175"/>
      <c r="M386" s="175"/>
      <c r="N386" s="385">
        <f ca="1">IFERROR(__xludf.DUMMYFUNCTION("IMPORTRANGE(""https://docs.google.com/spreadsheets/d/1IYY_tgx_IHuhSq3AJ5eI5OnqOPBNLWSHKh2a30DoXe8/edit?usp=sharing"",""พัทลุง!M281"")"),56090)</f>
        <v>56090</v>
      </c>
      <c r="O386" s="175"/>
      <c r="P386" s="175"/>
    </row>
    <row r="387" spans="1:16" ht="21.75" customHeight="1" x14ac:dyDescent="0.35">
      <c r="A387" s="381"/>
      <c r="B387" s="382"/>
      <c r="C387" s="163"/>
      <c r="D387" s="383"/>
      <c r="E387" s="171"/>
      <c r="F387" s="171"/>
      <c r="G387" s="384" t="s">
        <v>132</v>
      </c>
      <c r="H387" s="165" t="s">
        <v>12</v>
      </c>
      <c r="I387" s="194"/>
      <c r="J387" s="194"/>
      <c r="K387" s="230"/>
      <c r="L387" s="175"/>
      <c r="M387" s="175"/>
      <c r="N387" s="385">
        <f ca="1">IFERROR(__xludf.DUMMYFUNCTION("IMPORTRANGE(""https://docs.google.com/spreadsheets/d/1IYY_tgx_IHuhSq3AJ5eI5OnqOPBNLWSHKh2a30DoXe8/edit?usp=sharing"",""พัทลุง!M282"")"),0)</f>
        <v>0</v>
      </c>
      <c r="O387" s="175"/>
      <c r="P387" s="175"/>
    </row>
    <row r="388" spans="1:16" ht="21.75" customHeight="1" x14ac:dyDescent="0.35">
      <c r="A388" s="381"/>
      <c r="B388" s="382"/>
      <c r="C388" s="163"/>
      <c r="D388" s="383"/>
      <c r="E388" s="171"/>
      <c r="F388" s="171"/>
      <c r="G388" s="384" t="s">
        <v>133</v>
      </c>
      <c r="H388" s="165" t="s">
        <v>12</v>
      </c>
      <c r="I388" s="194"/>
      <c r="J388" s="194"/>
      <c r="K388" s="230"/>
      <c r="L388" s="175"/>
      <c r="M388" s="175"/>
      <c r="N388" s="385">
        <f ca="1">IFERROR(__xludf.DUMMYFUNCTION("IMPORTRANGE(""https://docs.google.com/spreadsheets/d/1IYY_tgx_IHuhSq3AJ5eI5OnqOPBNLWSHKh2a30DoXe8/edit?usp=sharing"",""พัทลุง!M283"")"),0)</f>
        <v>0</v>
      </c>
      <c r="O388" s="175"/>
      <c r="P388" s="175"/>
    </row>
    <row r="389" spans="1:16" ht="21.75" customHeight="1" x14ac:dyDescent="0.35">
      <c r="A389" s="381"/>
      <c r="B389" s="382"/>
      <c r="C389" s="163"/>
      <c r="D389" s="383"/>
      <c r="E389" s="171"/>
      <c r="F389" s="171"/>
      <c r="G389" s="384" t="s">
        <v>134</v>
      </c>
      <c r="H389" s="165" t="s">
        <v>12</v>
      </c>
      <c r="I389" s="194"/>
      <c r="J389" s="194"/>
      <c r="K389" s="230"/>
      <c r="L389" s="175"/>
      <c r="M389" s="175"/>
      <c r="N389" s="385">
        <f ca="1">IFERROR(__xludf.DUMMYFUNCTION("IMPORTRANGE(""https://docs.google.com/spreadsheets/d/1IYY_tgx_IHuhSq3AJ5eI5OnqOPBNLWSHKh2a30DoXe8/edit?usp=sharing"",""พัทลุง!M284"")"),3500)</f>
        <v>3500</v>
      </c>
      <c r="O389" s="175"/>
      <c r="P389" s="175"/>
    </row>
    <row r="390" spans="1:16" ht="21.75" customHeight="1" x14ac:dyDescent="0.35">
      <c r="A390" s="182"/>
      <c r="B390" s="183"/>
      <c r="C390" s="163" t="s">
        <v>16</v>
      </c>
      <c r="D390" s="184" t="s">
        <v>43</v>
      </c>
      <c r="E390" s="185"/>
      <c r="F390" s="185"/>
      <c r="G390" s="186"/>
      <c r="H390" s="187"/>
      <c r="I390" s="166"/>
      <c r="J390" s="166"/>
      <c r="K390" s="167"/>
      <c r="L390" s="188"/>
      <c r="M390" s="188"/>
      <c r="N390" s="188"/>
      <c r="O390" s="188"/>
      <c r="P390" s="188"/>
    </row>
    <row r="391" spans="1:16" ht="21.75" customHeight="1" x14ac:dyDescent="0.35">
      <c r="A391" s="182"/>
      <c r="B391" s="183"/>
      <c r="C391" s="183"/>
      <c r="D391" s="189">
        <v>1</v>
      </c>
      <c r="E391" s="190" t="s">
        <v>44</v>
      </c>
      <c r="F391" s="191"/>
      <c r="G391" s="192"/>
      <c r="H391" s="193"/>
      <c r="I391" s="194"/>
      <c r="J391" s="204">
        <f ca="1">IFERROR(__xludf.DUMMYFUNCTION("IMPORTRANGE(""https://docs.google.com/spreadsheets/d/1IYY_tgx_IHuhSq3AJ5eI5OnqOPBNLWSHKh2a30DoXe8/edit?usp=sharing"",""พัทลุง!J286"")"),0)</f>
        <v>0</v>
      </c>
      <c r="K391" s="167"/>
      <c r="L391" s="188"/>
      <c r="M391" s="188"/>
      <c r="N391" s="188"/>
      <c r="O391" s="188"/>
      <c r="P391" s="188"/>
    </row>
    <row r="392" spans="1:16" ht="21.75" customHeight="1" x14ac:dyDescent="0.35">
      <c r="A392" s="182"/>
      <c r="B392" s="183"/>
      <c r="C392" s="183"/>
      <c r="D392" s="196">
        <v>2</v>
      </c>
      <c r="E392" s="197" t="s">
        <v>45</v>
      </c>
      <c r="F392" s="198"/>
      <c r="G392" s="199"/>
      <c r="H392" s="193"/>
      <c r="I392" s="194"/>
      <c r="J392" s="195">
        <f ca="1">IFERROR(__xludf.DUMMYFUNCTION("IMPORTRANGE(""https://docs.google.com/spreadsheets/d/1IYY_tgx_IHuhSq3AJ5eI5OnqOPBNLWSHKh2a30DoXe8/edit?usp=sharing"",""พัทลุง!J287"")"),1)</f>
        <v>1</v>
      </c>
      <c r="K392" s="167"/>
      <c r="L392" s="188" t="s">
        <v>39</v>
      </c>
      <c r="M392" s="188"/>
      <c r="N392" s="188" t="s">
        <v>39</v>
      </c>
      <c r="O392" s="188"/>
      <c r="P392" s="188"/>
    </row>
    <row r="393" spans="1:16" ht="21.75" customHeight="1" x14ac:dyDescent="0.35">
      <c r="A393" s="182"/>
      <c r="B393" s="183"/>
      <c r="C393" s="183"/>
      <c r="D393" s="200"/>
      <c r="E393" s="201" t="s">
        <v>46</v>
      </c>
      <c r="F393" s="202"/>
      <c r="G393" s="203"/>
      <c r="H393" s="193"/>
      <c r="I393" s="194"/>
      <c r="J393" s="195">
        <f ca="1">IFERROR(__xludf.DUMMYFUNCTION("IMPORTRANGE(""https://docs.google.com/spreadsheets/d/1IYY_tgx_IHuhSq3AJ5eI5OnqOPBNLWSHKh2a30DoXe8/edit?usp=sharing"",""พัทลุง!J288"")"),1)</f>
        <v>1</v>
      </c>
      <c r="K393" s="167"/>
      <c r="L393" s="188"/>
      <c r="M393" s="188"/>
      <c r="N393" s="188"/>
      <c r="O393" s="188"/>
      <c r="P393" s="188"/>
    </row>
    <row r="394" spans="1:16" ht="21.75" customHeight="1" x14ac:dyDescent="0.35">
      <c r="A394" s="182"/>
      <c r="B394" s="183"/>
      <c r="C394" s="183"/>
      <c r="D394" s="200"/>
      <c r="E394" s="201" t="s">
        <v>47</v>
      </c>
      <c r="F394" s="202"/>
      <c r="G394" s="203"/>
      <c r="H394" s="193"/>
      <c r="I394" s="194"/>
      <c r="J394" s="204">
        <f ca="1">IFERROR(__xludf.DUMMYFUNCTION("IMPORTRANGE(""https://docs.google.com/spreadsheets/d/1IYY_tgx_IHuhSq3AJ5eI5OnqOPBNLWSHKh2a30DoXe8/edit?usp=sharing"",""พัทลุง!J289"")"),1)</f>
        <v>1</v>
      </c>
      <c r="K394" s="167"/>
      <c r="L394" s="188"/>
      <c r="M394" s="188"/>
      <c r="N394" s="188"/>
      <c r="O394" s="188"/>
      <c r="P394" s="188"/>
    </row>
    <row r="395" spans="1:16" ht="21.75" customHeight="1" x14ac:dyDescent="0.35">
      <c r="A395" s="182"/>
      <c r="B395" s="183"/>
      <c r="C395" s="183"/>
      <c r="D395" s="200"/>
      <c r="E395" s="205"/>
      <c r="F395" s="201" t="s">
        <v>146</v>
      </c>
      <c r="G395" s="202"/>
      <c r="H395" s="193"/>
      <c r="I395" s="194"/>
      <c r="J395" s="194"/>
      <c r="K395" s="167"/>
      <c r="L395" s="188"/>
      <c r="M395" s="188"/>
      <c r="N395" s="188"/>
      <c r="O395" s="188"/>
      <c r="P395" s="188"/>
    </row>
    <row r="396" spans="1:16" ht="21.75" customHeight="1" x14ac:dyDescent="0.35">
      <c r="A396" s="182"/>
      <c r="B396" s="183"/>
      <c r="C396" s="183"/>
      <c r="D396" s="200"/>
      <c r="E396" s="205"/>
      <c r="F396" s="202"/>
      <c r="G396" s="299" t="s">
        <v>69</v>
      </c>
      <c r="H396" s="193" t="s">
        <v>37</v>
      </c>
      <c r="I396" s="194">
        <f ca="1">IFERROR(__xludf.DUMMYFUNCTION("IMPORTRANGE(""https://docs.google.com/spreadsheets/d/1IYY_tgx_IHuhSq3AJ5eI5OnqOPBNLWSHKh2a30DoXe8/edit?usp=sharing"",""พัทลุง!I291"")"),30)</f>
        <v>30</v>
      </c>
      <c r="J396" s="204">
        <f ca="1">IFERROR(__xludf.DUMMYFUNCTION("IMPORTRANGE(""https://docs.google.com/spreadsheets/d/1IYY_tgx_IHuhSq3AJ5eI5OnqOPBNLWSHKh2a30DoXe8/edit?usp=sharing"",""พัทลุง!J291"")"),30)</f>
        <v>30</v>
      </c>
      <c r="K396" s="167">
        <f t="shared" ref="K396:K398" ca="1" si="109">IF(I396&gt;0,J396*100/I396,0)</f>
        <v>100</v>
      </c>
      <c r="L396" s="188"/>
      <c r="M396" s="188"/>
      <c r="N396" s="188"/>
      <c r="O396" s="188"/>
      <c r="P396" s="188"/>
    </row>
    <row r="397" spans="1:16" ht="21.75" customHeight="1" x14ac:dyDescent="0.35">
      <c r="A397" s="182"/>
      <c r="B397" s="183"/>
      <c r="C397" s="183"/>
      <c r="D397" s="200"/>
      <c r="E397" s="205"/>
      <c r="F397" s="202"/>
      <c r="G397" s="203" t="s">
        <v>52</v>
      </c>
      <c r="H397" s="193" t="s">
        <v>122</v>
      </c>
      <c r="I397" s="194">
        <f ca="1">IFERROR(__xludf.DUMMYFUNCTION("IMPORTRANGE(""https://docs.google.com/spreadsheets/d/1IYY_tgx_IHuhSq3AJ5eI5OnqOPBNLWSHKh2a30DoXe8/edit?usp=sharing"",""พัทลุง!I292"")"),300)</f>
        <v>300</v>
      </c>
      <c r="J397" s="204">
        <f ca="1">IFERROR(__xludf.DUMMYFUNCTION("IMPORTRANGE(""https://docs.google.com/spreadsheets/d/1IYY_tgx_IHuhSq3AJ5eI5OnqOPBNLWSHKh2a30DoXe8/edit?usp=sharing"",""พัทลุง!J292"")"),0)</f>
        <v>0</v>
      </c>
      <c r="K397" s="167">
        <f t="shared" ca="1" si="109"/>
        <v>0</v>
      </c>
      <c r="L397" s="188"/>
      <c r="M397" s="188"/>
      <c r="N397" s="188"/>
      <c r="O397" s="188"/>
      <c r="P397" s="188"/>
    </row>
    <row r="398" spans="1:16" ht="21.75" customHeight="1" x14ac:dyDescent="0.35">
      <c r="A398" s="182"/>
      <c r="B398" s="183"/>
      <c r="C398" s="183"/>
      <c r="D398" s="200"/>
      <c r="E398" s="205"/>
      <c r="F398" s="202"/>
      <c r="G398" s="203"/>
      <c r="H398" s="193" t="s">
        <v>37</v>
      </c>
      <c r="I398" s="194">
        <f ca="1">IFERROR(__xludf.DUMMYFUNCTION("IMPORTRANGE(""https://docs.google.com/spreadsheets/d/1IYY_tgx_IHuhSq3AJ5eI5OnqOPBNLWSHKh2a30DoXe8/edit?usp=sharing"",""พัทลุง!I293"")"),30)</f>
        <v>30</v>
      </c>
      <c r="J398" s="204">
        <f ca="1">IFERROR(__xludf.DUMMYFUNCTION("IMPORTRANGE(""https://docs.google.com/spreadsheets/d/1IYY_tgx_IHuhSq3AJ5eI5OnqOPBNLWSHKh2a30DoXe8/edit?usp=sharing"",""พัทลุง!J293"")"),0)</f>
        <v>0</v>
      </c>
      <c r="K398" s="167">
        <f t="shared" ca="1" si="109"/>
        <v>0</v>
      </c>
      <c r="L398" s="188"/>
      <c r="M398" s="188"/>
      <c r="N398" s="188"/>
      <c r="O398" s="188"/>
      <c r="P398" s="188"/>
    </row>
    <row r="399" spans="1:16" ht="21.75" customHeight="1" x14ac:dyDescent="0.35">
      <c r="A399" s="182"/>
      <c r="B399" s="183"/>
      <c r="C399" s="183"/>
      <c r="D399" s="200"/>
      <c r="E399" s="201" t="s">
        <v>53</v>
      </c>
      <c r="F399" s="202"/>
      <c r="G399" s="203"/>
      <c r="H399" s="193"/>
      <c r="I399" s="194"/>
      <c r="J399" s="204">
        <f ca="1">IFERROR(__xludf.DUMMYFUNCTION("IMPORTRANGE(""https://docs.google.com/spreadsheets/d/1IYY_tgx_IHuhSq3AJ5eI5OnqOPBNLWSHKh2a30DoXe8/edit?usp=sharing"",""พัทลุง!J294"")"),0)</f>
        <v>0</v>
      </c>
      <c r="K399" s="167"/>
      <c r="L399" s="188"/>
      <c r="M399" s="188"/>
      <c r="N399" s="188"/>
      <c r="O399" s="188"/>
      <c r="P399" s="188"/>
    </row>
    <row r="400" spans="1:16" ht="21.75" customHeight="1" x14ac:dyDescent="0.35">
      <c r="A400" s="182"/>
      <c r="B400" s="183"/>
      <c r="C400" s="183"/>
      <c r="D400" s="212">
        <v>3</v>
      </c>
      <c r="E400" s="213" t="s">
        <v>54</v>
      </c>
      <c r="F400" s="214"/>
      <c r="G400" s="215"/>
      <c r="H400" s="193"/>
      <c r="I400" s="194"/>
      <c r="J400" s="216">
        <f ca="1">IFERROR(__xludf.DUMMYFUNCTION("IMPORTRANGE(""https://docs.google.com/spreadsheets/d/1IYY_tgx_IHuhSq3AJ5eI5OnqOPBNLWSHKh2a30DoXe8/edit?usp=sharing"",""พัทลุง!J295"")"),0)</f>
        <v>0</v>
      </c>
      <c r="K400" s="167"/>
      <c r="L400" s="188"/>
      <c r="M400" s="188"/>
      <c r="N400" s="188"/>
      <c r="O400" s="188"/>
      <c r="P400" s="188"/>
    </row>
    <row r="401" spans="1:16" ht="21.75" customHeight="1" x14ac:dyDescent="0.35">
      <c r="A401" s="372"/>
      <c r="B401" s="373">
        <v>3</v>
      </c>
      <c r="C401" s="373" t="s">
        <v>147</v>
      </c>
      <c r="D401" s="374"/>
      <c r="E401" s="374"/>
      <c r="F401" s="374"/>
      <c r="G401" s="375"/>
      <c r="H401" s="376" t="s">
        <v>122</v>
      </c>
      <c r="I401" s="377">
        <f ca="1">IFERROR(__xludf.DUMMYFUNCTION("IMPORTRANGE(""https://docs.google.com/spreadsheets/d/1IYY_tgx_IHuhSq3AJ5eI5OnqOPBNLWSHKh2a30DoXe8/edit?usp=sharing"",""พัทลุง!I296"")"),135)</f>
        <v>135</v>
      </c>
      <c r="J401" s="377">
        <f ca="1">IFERROR(__xludf.DUMMYFUNCTION("IMPORTRANGE(""https://docs.google.com/spreadsheets/d/1IYY_tgx_IHuhSq3AJ5eI5OnqOPBNLWSHKh2a30DoXe8/edit?usp=sharing"",""พัทลุง!J296"")"),135)</f>
        <v>135</v>
      </c>
      <c r="K401" s="378">
        <f t="shared" ref="K401:K402" ca="1" si="110">IF(I401&gt;0,J401*100/I401,0)</f>
        <v>100</v>
      </c>
      <c r="L401" s="379">
        <f ca="1">IFERROR(__xludf.DUMMYFUNCTION("IMPORTRANGE(""https://docs.google.com/spreadsheets/d/1IYY_tgx_IHuhSq3AJ5eI5OnqOPBNLWSHKh2a30DoXe8/edit?usp=sharing"",""พัทลุง!L296"")"),159950)</f>
        <v>159950</v>
      </c>
      <c r="M401" s="379"/>
      <c r="N401" s="379">
        <f ca="1">IFERROR(__xludf.DUMMYFUNCTION("IMPORTRANGE(""https://docs.google.com/spreadsheets/d/1IYY_tgx_IHuhSq3AJ5eI5OnqOPBNLWSHKh2a30DoXe8/edit?usp=sharing"",""พัทลุง!M296"")"),65340)</f>
        <v>65340</v>
      </c>
      <c r="O401" s="379">
        <f ca="1">+IF(L401&gt;0,N401*100/L401,0)</f>
        <v>40.85026570803376</v>
      </c>
      <c r="P401" s="379"/>
    </row>
    <row r="402" spans="1:16" ht="21.75" customHeight="1" x14ac:dyDescent="0.35">
      <c r="A402" s="372"/>
      <c r="B402" s="373"/>
      <c r="C402" s="373"/>
      <c r="D402" s="390"/>
      <c r="E402" s="390"/>
      <c r="F402" s="390"/>
      <c r="G402" s="393"/>
      <c r="H402" s="376" t="s">
        <v>37</v>
      </c>
      <c r="I402" s="377">
        <f ca="1">IFERROR(__xludf.DUMMYFUNCTION("IMPORTRANGE(""https://docs.google.com/spreadsheets/d/1IYY_tgx_IHuhSq3AJ5eI5OnqOPBNLWSHKh2a30DoXe8/edit?usp=sharing"",""พัทลุง!I297"")"),45)</f>
        <v>45</v>
      </c>
      <c r="J402" s="377">
        <f ca="1">IFERROR(__xludf.DUMMYFUNCTION("IMPORTRANGE(""https://docs.google.com/spreadsheets/d/1IYY_tgx_IHuhSq3AJ5eI5OnqOPBNLWSHKh2a30DoXe8/edit?usp=sharing"",""พัทลุง!J297"")"),45)</f>
        <v>45</v>
      </c>
      <c r="K402" s="378">
        <f t="shared" ca="1" si="110"/>
        <v>100</v>
      </c>
      <c r="L402" s="379"/>
      <c r="M402" s="379"/>
      <c r="N402" s="379"/>
      <c r="O402" s="379"/>
      <c r="P402" s="379"/>
    </row>
    <row r="403" spans="1:16" ht="21.75" customHeight="1" x14ac:dyDescent="0.35">
      <c r="A403" s="162"/>
      <c r="B403" s="163"/>
      <c r="C403" s="163" t="s">
        <v>16</v>
      </c>
      <c r="D403" s="284" t="s">
        <v>77</v>
      </c>
      <c r="E403" s="171"/>
      <c r="F403" s="171"/>
      <c r="G403" s="164" t="s">
        <v>38</v>
      </c>
      <c r="H403" s="165" t="s">
        <v>12</v>
      </c>
      <c r="I403" s="166" t="s">
        <v>39</v>
      </c>
      <c r="J403" s="166"/>
      <c r="K403" s="167"/>
      <c r="L403" s="168">
        <f ca="1">IFERROR(__xludf.DUMMYFUNCTION("IMPORTRANGE(""https://docs.google.com/spreadsheets/d/1IYY_tgx_IHuhSq3AJ5eI5OnqOPBNLWSHKh2a30DoXe8/edit?usp=sharing"",""พัทลุง!L298"")"),0)</f>
        <v>0</v>
      </c>
      <c r="M403" s="168"/>
      <c r="N403" s="175">
        <f ca="1">IFERROR(__xludf.DUMMYFUNCTION("IMPORTRANGE(""https://docs.google.com/spreadsheets/d/1IYY_tgx_IHuhSq3AJ5eI5OnqOPBNLWSHKh2a30DoXe8/edit?usp=sharing"",""พัทลุง!M298"")"),0)</f>
        <v>0</v>
      </c>
      <c r="O403" s="175">
        <f t="shared" ref="O403:O406" ca="1" si="111">+IF(L403&gt;0,N403*100/L403,0)</f>
        <v>0</v>
      </c>
      <c r="P403" s="175"/>
    </row>
    <row r="404" spans="1:16" ht="21.75" customHeight="1" x14ac:dyDescent="0.35">
      <c r="A404" s="162"/>
      <c r="B404" s="163"/>
      <c r="C404" s="163"/>
      <c r="D404" s="170"/>
      <c r="E404" s="171"/>
      <c r="F404" s="171" t="s">
        <v>39</v>
      </c>
      <c r="G404" s="164" t="s">
        <v>40</v>
      </c>
      <c r="H404" s="165" t="s">
        <v>12</v>
      </c>
      <c r="I404" s="166"/>
      <c r="J404" s="166"/>
      <c r="K404" s="167"/>
      <c r="L404" s="169">
        <f ca="1">IFERROR(__xludf.DUMMYFUNCTION("IMPORTRANGE(""https://docs.google.com/spreadsheets/d/1IYY_tgx_IHuhSq3AJ5eI5OnqOPBNLWSHKh2a30DoXe8/edit?usp=sharing"",""พัทลุง!L299"")"),159950)</f>
        <v>159950</v>
      </c>
      <c r="M404" s="169"/>
      <c r="N404" s="175">
        <f ca="1">IFERROR(__xludf.DUMMYFUNCTION("IMPORTRANGE(""https://docs.google.com/spreadsheets/d/1IYY_tgx_IHuhSq3AJ5eI5OnqOPBNLWSHKh2a30DoXe8/edit?usp=sharing"",""พัทลุง!M299"")"),65340)</f>
        <v>65340</v>
      </c>
      <c r="O404" s="175">
        <f t="shared" ca="1" si="111"/>
        <v>40.85026570803376</v>
      </c>
      <c r="P404" s="175"/>
    </row>
    <row r="405" spans="1:16" ht="21.75" customHeight="1" x14ac:dyDescent="0.35">
      <c r="A405" s="162"/>
      <c r="B405" s="163"/>
      <c r="C405" s="163"/>
      <c r="D405" s="170"/>
      <c r="E405" s="171"/>
      <c r="F405" s="171"/>
      <c r="G405" s="380" t="s">
        <v>129</v>
      </c>
      <c r="H405" s="165" t="s">
        <v>12</v>
      </c>
      <c r="I405" s="166"/>
      <c r="J405" s="166"/>
      <c r="K405" s="167"/>
      <c r="L405" s="175">
        <f ca="1">IFERROR(__xludf.DUMMYFUNCTION("IMPORTRANGE(""https://docs.google.com/spreadsheets/d/1IYY_tgx_IHuhSq3AJ5eI5OnqOPBNLWSHKh2a30DoXe8/edit?usp=sharing"",""พัทลุง!L300"")"),0)</f>
        <v>0</v>
      </c>
      <c r="M405" s="175"/>
      <c r="N405" s="175">
        <f ca="1">IFERROR(__xludf.DUMMYFUNCTION("IMPORTRANGE(""https://docs.google.com/spreadsheets/d/1IYY_tgx_IHuhSq3AJ5eI5OnqOPBNLWSHKh2a30DoXe8/edit?usp=sharing"",""พัทลุง!M300"")"),0)</f>
        <v>0</v>
      </c>
      <c r="O405" s="175">
        <f t="shared" ca="1" si="111"/>
        <v>0</v>
      </c>
      <c r="P405" s="175"/>
    </row>
    <row r="406" spans="1:16" ht="21.75" customHeight="1" x14ac:dyDescent="0.35">
      <c r="A406" s="162"/>
      <c r="B406" s="163"/>
      <c r="C406" s="163"/>
      <c r="D406" s="170"/>
      <c r="E406" s="171"/>
      <c r="F406" s="171"/>
      <c r="G406" s="380" t="s">
        <v>130</v>
      </c>
      <c r="H406" s="165" t="s">
        <v>12</v>
      </c>
      <c r="I406" s="166"/>
      <c r="J406" s="166"/>
      <c r="K406" s="167"/>
      <c r="L406" s="175">
        <f ca="1">IFERROR(__xludf.DUMMYFUNCTION("IMPORTRANGE(""https://docs.google.com/spreadsheets/d/1IYY_tgx_IHuhSq3AJ5eI5OnqOPBNLWSHKh2a30DoXe8/edit?usp=sharing"",""พัทลุง!L301"")"),159950)</f>
        <v>159950</v>
      </c>
      <c r="M406" s="175"/>
      <c r="N406" s="175">
        <f ca="1">IFERROR(__xludf.DUMMYFUNCTION("IMPORTRANGE(""https://docs.google.com/spreadsheets/d/1IYY_tgx_IHuhSq3AJ5eI5OnqOPBNLWSHKh2a30DoXe8/edit?usp=sharing"",""พัทลุง!M301"")"),65340)</f>
        <v>65340</v>
      </c>
      <c r="O406" s="175">
        <f t="shared" ca="1" si="111"/>
        <v>40.85026570803376</v>
      </c>
      <c r="P406" s="175"/>
    </row>
    <row r="407" spans="1:16" ht="21.75" customHeight="1" x14ac:dyDescent="0.35">
      <c r="A407" s="381"/>
      <c r="B407" s="382"/>
      <c r="C407" s="163"/>
      <c r="D407" s="383"/>
      <c r="E407" s="171"/>
      <c r="F407" s="171"/>
      <c r="G407" s="384" t="s">
        <v>131</v>
      </c>
      <c r="H407" s="165" t="s">
        <v>12</v>
      </c>
      <c r="I407" s="194"/>
      <c r="J407" s="194"/>
      <c r="K407" s="230"/>
      <c r="L407" s="175"/>
      <c r="M407" s="175"/>
      <c r="N407" s="385">
        <f ca="1">IFERROR(__xludf.DUMMYFUNCTION("IMPORTRANGE(""https://docs.google.com/spreadsheets/d/1IYY_tgx_IHuhSq3AJ5eI5OnqOPBNLWSHKh2a30DoXe8/edit?usp=sharing"",""พัทลุง!M302"")"),52340)</f>
        <v>52340</v>
      </c>
      <c r="O407" s="175"/>
      <c r="P407" s="175"/>
    </row>
    <row r="408" spans="1:16" ht="21.75" customHeight="1" x14ac:dyDescent="0.35">
      <c r="A408" s="381"/>
      <c r="B408" s="382"/>
      <c r="C408" s="163"/>
      <c r="D408" s="383"/>
      <c r="E408" s="171"/>
      <c r="F408" s="171"/>
      <c r="G408" s="384" t="s">
        <v>132</v>
      </c>
      <c r="H408" s="165" t="s">
        <v>12</v>
      </c>
      <c r="I408" s="194"/>
      <c r="J408" s="194"/>
      <c r="K408" s="230"/>
      <c r="L408" s="175"/>
      <c r="M408" s="175"/>
      <c r="N408" s="385">
        <f ca="1">IFERROR(__xludf.DUMMYFUNCTION("IMPORTRANGE(""https://docs.google.com/spreadsheets/d/1IYY_tgx_IHuhSq3AJ5eI5OnqOPBNLWSHKh2a30DoXe8/edit?usp=sharing"",""พัทลุง!M303"")"),0)</f>
        <v>0</v>
      </c>
      <c r="O408" s="175"/>
      <c r="P408" s="175"/>
    </row>
    <row r="409" spans="1:16" ht="21.75" customHeight="1" x14ac:dyDescent="0.35">
      <c r="A409" s="381"/>
      <c r="B409" s="382"/>
      <c r="C409" s="163"/>
      <c r="D409" s="383"/>
      <c r="E409" s="171"/>
      <c r="F409" s="171"/>
      <c r="G409" s="384" t="s">
        <v>133</v>
      </c>
      <c r="H409" s="165" t="s">
        <v>12</v>
      </c>
      <c r="I409" s="194"/>
      <c r="J409" s="194"/>
      <c r="K409" s="230"/>
      <c r="L409" s="175"/>
      <c r="M409" s="175"/>
      <c r="N409" s="385">
        <f ca="1">IFERROR(__xludf.DUMMYFUNCTION("IMPORTRANGE(""https://docs.google.com/spreadsheets/d/1IYY_tgx_IHuhSq3AJ5eI5OnqOPBNLWSHKh2a30DoXe8/edit?usp=sharing"",""พัทลุง!M304"")"),0)</f>
        <v>0</v>
      </c>
      <c r="O409" s="175"/>
      <c r="P409" s="175"/>
    </row>
    <row r="410" spans="1:16" ht="21.75" customHeight="1" x14ac:dyDescent="0.35">
      <c r="A410" s="381"/>
      <c r="B410" s="382"/>
      <c r="C410" s="163"/>
      <c r="D410" s="383"/>
      <c r="E410" s="171"/>
      <c r="F410" s="171"/>
      <c r="G410" s="384" t="s">
        <v>134</v>
      </c>
      <c r="H410" s="165" t="s">
        <v>12</v>
      </c>
      <c r="I410" s="194"/>
      <c r="J410" s="194"/>
      <c r="K410" s="230"/>
      <c r="L410" s="175"/>
      <c r="M410" s="175"/>
      <c r="N410" s="385">
        <f ca="1">IFERROR(__xludf.DUMMYFUNCTION("IMPORTRANGE(""https://docs.google.com/spreadsheets/d/1IYY_tgx_IHuhSq3AJ5eI5OnqOPBNLWSHKh2a30DoXe8/edit?usp=sharing"",""พัทลุง!M305"")"),13000)</f>
        <v>13000</v>
      </c>
      <c r="O410" s="175"/>
      <c r="P410" s="175"/>
    </row>
    <row r="411" spans="1:16" ht="21.75" customHeight="1" x14ac:dyDescent="0.35">
      <c r="A411" s="182"/>
      <c r="B411" s="183"/>
      <c r="C411" s="163" t="s">
        <v>16</v>
      </c>
      <c r="D411" s="184" t="s">
        <v>43</v>
      </c>
      <c r="E411" s="185"/>
      <c r="F411" s="185"/>
      <c r="G411" s="186"/>
      <c r="H411" s="187"/>
      <c r="I411" s="166"/>
      <c r="J411" s="166"/>
      <c r="K411" s="167"/>
      <c r="L411" s="188"/>
      <c r="M411" s="188"/>
      <c r="N411" s="188"/>
      <c r="O411" s="188"/>
      <c r="P411" s="188"/>
    </row>
    <row r="412" spans="1:16" ht="21.75" customHeight="1" x14ac:dyDescent="0.35">
      <c r="A412" s="182"/>
      <c r="B412" s="183"/>
      <c r="C412" s="183"/>
      <c r="D412" s="189">
        <v>1</v>
      </c>
      <c r="E412" s="190" t="s">
        <v>44</v>
      </c>
      <c r="F412" s="191"/>
      <c r="G412" s="192"/>
      <c r="H412" s="193"/>
      <c r="I412" s="194"/>
      <c r="J412" s="204">
        <f ca="1">IFERROR(__xludf.DUMMYFUNCTION("IMPORTRANGE(""https://docs.google.com/spreadsheets/d/1IYY_tgx_IHuhSq3AJ5eI5OnqOPBNLWSHKh2a30DoXe8/edit?usp=sharing"",""พัทลุง!J307"")"),0)</f>
        <v>0</v>
      </c>
      <c r="K412" s="167"/>
      <c r="L412" s="188"/>
      <c r="M412" s="188"/>
      <c r="N412" s="188"/>
      <c r="O412" s="188"/>
      <c r="P412" s="188"/>
    </row>
    <row r="413" spans="1:16" ht="21.75" customHeight="1" x14ac:dyDescent="0.35">
      <c r="A413" s="182"/>
      <c r="B413" s="183"/>
      <c r="C413" s="183"/>
      <c r="D413" s="196">
        <v>2</v>
      </c>
      <c r="E413" s="197" t="s">
        <v>45</v>
      </c>
      <c r="F413" s="198"/>
      <c r="G413" s="199"/>
      <c r="H413" s="193"/>
      <c r="I413" s="194"/>
      <c r="J413" s="195">
        <f ca="1">IFERROR(__xludf.DUMMYFUNCTION("IMPORTRANGE(""https://docs.google.com/spreadsheets/d/1IYY_tgx_IHuhSq3AJ5eI5OnqOPBNLWSHKh2a30DoXe8/edit?usp=sharing"",""พัทลุง!J308"")"),1)</f>
        <v>1</v>
      </c>
      <c r="K413" s="167"/>
      <c r="L413" s="188" t="s">
        <v>39</v>
      </c>
      <c r="M413" s="188"/>
      <c r="N413" s="188" t="s">
        <v>39</v>
      </c>
      <c r="O413" s="188"/>
      <c r="P413" s="188"/>
    </row>
    <row r="414" spans="1:16" ht="21.75" customHeight="1" x14ac:dyDescent="0.35">
      <c r="A414" s="182"/>
      <c r="B414" s="183"/>
      <c r="C414" s="183"/>
      <c r="D414" s="200"/>
      <c r="E414" s="201" t="s">
        <v>46</v>
      </c>
      <c r="F414" s="202"/>
      <c r="G414" s="203"/>
      <c r="H414" s="193"/>
      <c r="I414" s="194"/>
      <c r="J414" s="195">
        <f ca="1">IFERROR(__xludf.DUMMYFUNCTION("IMPORTRANGE(""https://docs.google.com/spreadsheets/d/1IYY_tgx_IHuhSq3AJ5eI5OnqOPBNLWSHKh2a30DoXe8/edit?usp=sharing"",""พัทลุง!J309"")"),1)</f>
        <v>1</v>
      </c>
      <c r="K414" s="167"/>
      <c r="L414" s="188"/>
      <c r="M414" s="188"/>
      <c r="N414" s="188"/>
      <c r="O414" s="188"/>
      <c r="P414" s="188"/>
    </row>
    <row r="415" spans="1:16" ht="21.75" customHeight="1" x14ac:dyDescent="0.35">
      <c r="A415" s="182"/>
      <c r="B415" s="183"/>
      <c r="C415" s="183"/>
      <c r="D415" s="200"/>
      <c r="E415" s="201" t="s">
        <v>47</v>
      </c>
      <c r="F415" s="202"/>
      <c r="G415" s="203"/>
      <c r="H415" s="193"/>
      <c r="I415" s="194"/>
      <c r="J415" s="204">
        <f ca="1">IFERROR(__xludf.DUMMYFUNCTION("IMPORTRANGE(""https://docs.google.com/spreadsheets/d/1IYY_tgx_IHuhSq3AJ5eI5OnqOPBNLWSHKh2a30DoXe8/edit?usp=sharing"",""พัทลุง!J310"")"),1)</f>
        <v>1</v>
      </c>
      <c r="K415" s="167"/>
      <c r="L415" s="188"/>
      <c r="M415" s="188"/>
      <c r="N415" s="188"/>
      <c r="O415" s="188"/>
      <c r="P415" s="188"/>
    </row>
    <row r="416" spans="1:16" ht="21.75" customHeight="1" x14ac:dyDescent="0.35">
      <c r="A416" s="182"/>
      <c r="B416" s="183"/>
      <c r="C416" s="183"/>
      <c r="D416" s="200"/>
      <c r="E416" s="205"/>
      <c r="F416" s="201" t="s">
        <v>69</v>
      </c>
      <c r="G416" s="394"/>
      <c r="H416" s="395" t="s">
        <v>37</v>
      </c>
      <c r="I416" s="207">
        <f ca="1">IFERROR(__xludf.DUMMYFUNCTION("IMPORTRANGE(""https://docs.google.com/spreadsheets/d/1IYY_tgx_IHuhSq3AJ5eI5OnqOPBNLWSHKh2a30DoXe8/edit?usp=sharing"",""พัทลุง!I311"")"),45)</f>
        <v>45</v>
      </c>
      <c r="J416" s="207">
        <f ca="1">IFERROR(__xludf.DUMMYFUNCTION("IMPORTRANGE(""https://docs.google.com/spreadsheets/d/1IYY_tgx_IHuhSq3AJ5eI5OnqOPBNLWSHKh2a30DoXe8/edit?usp=sharing"",""พัทลุง!J311"")"),45)</f>
        <v>45</v>
      </c>
      <c r="K416" s="208">
        <f t="shared" ref="K416:K432" ca="1" si="112">IF(I416&gt;0,J416*100/I416,0)</f>
        <v>100</v>
      </c>
      <c r="L416" s="188"/>
      <c r="M416" s="188"/>
      <c r="N416" s="188"/>
      <c r="O416" s="188"/>
      <c r="P416" s="188"/>
    </row>
    <row r="417" spans="1:16" ht="21.75" customHeight="1" x14ac:dyDescent="0.45">
      <c r="A417" s="182"/>
      <c r="B417" s="183"/>
      <c r="C417" s="183"/>
      <c r="D417" s="200"/>
      <c r="E417" s="205"/>
      <c r="F417" s="396" t="s">
        <v>148</v>
      </c>
      <c r="G417" s="203"/>
      <c r="H417" s="206" t="s">
        <v>37</v>
      </c>
      <c r="I417" s="397">
        <f ca="1">IFERROR(__xludf.DUMMYFUNCTION("IMPORTRANGE(""https://docs.google.com/spreadsheets/d/1IYY_tgx_IHuhSq3AJ5eI5OnqOPBNLWSHKh2a30DoXe8/edit?usp=sharing"",""พัทลุง!I312"")"),10)</f>
        <v>10</v>
      </c>
      <c r="J417" s="398">
        <f ca="1">IFERROR(__xludf.DUMMYFUNCTION("IMPORTRANGE(""https://docs.google.com/spreadsheets/d/1IYY_tgx_IHuhSq3AJ5eI5OnqOPBNLWSHKh2a30DoXe8/edit?usp=sharing"",""พัทลุง!J312"")"),10)</f>
        <v>10</v>
      </c>
      <c r="K417" s="208">
        <f t="shared" ca="1" si="112"/>
        <v>100</v>
      </c>
      <c r="L417" s="188"/>
      <c r="M417" s="188"/>
      <c r="N417" s="188"/>
      <c r="O417" s="188"/>
      <c r="P417" s="188"/>
    </row>
    <row r="418" spans="1:16" ht="21.75" customHeight="1" x14ac:dyDescent="0.45">
      <c r="A418" s="182"/>
      <c r="B418" s="183"/>
      <c r="C418" s="183"/>
      <c r="D418" s="200"/>
      <c r="E418" s="205"/>
      <c r="F418" s="202"/>
      <c r="G418" s="203"/>
      <c r="H418" s="206" t="s">
        <v>122</v>
      </c>
      <c r="I418" s="397">
        <f ca="1">IFERROR(__xludf.DUMMYFUNCTION("IMPORTRANGE(""https://docs.google.com/spreadsheets/d/1IYY_tgx_IHuhSq3AJ5eI5OnqOPBNLWSHKh2a30DoXe8/edit?usp=sharing"",""พัทลุง!I313"")"),30)</f>
        <v>30</v>
      </c>
      <c r="J418" s="399">
        <f ca="1">IFERROR(__xludf.DUMMYFUNCTION("IMPORTRANGE(""https://docs.google.com/spreadsheets/d/1IYY_tgx_IHuhSq3AJ5eI5OnqOPBNLWSHKh2a30DoXe8/edit?usp=sharing"",""พัทลุง!J313"")"),30)</f>
        <v>30</v>
      </c>
      <c r="K418" s="208">
        <f t="shared" ca="1" si="112"/>
        <v>100</v>
      </c>
      <c r="L418" s="188"/>
      <c r="M418" s="188"/>
      <c r="N418" s="188"/>
      <c r="O418" s="188"/>
      <c r="P418" s="188"/>
    </row>
    <row r="419" spans="1:16" ht="21.75" customHeight="1" x14ac:dyDescent="0.45">
      <c r="A419" s="182"/>
      <c r="B419" s="183"/>
      <c r="C419" s="183"/>
      <c r="D419" s="200"/>
      <c r="E419" s="205"/>
      <c r="F419" s="202"/>
      <c r="G419" s="232" t="s">
        <v>149</v>
      </c>
      <c r="H419" s="187" t="s">
        <v>37</v>
      </c>
      <c r="I419" s="347">
        <f ca="1">IFERROR(__xludf.DUMMYFUNCTION("IMPORTRANGE(""https://docs.google.com/spreadsheets/d/1IYY_tgx_IHuhSq3AJ5eI5OnqOPBNLWSHKh2a30DoXe8/edit?usp=sharing"",""พัทลุง!I314"")"),10)</f>
        <v>10</v>
      </c>
      <c r="J419" s="400">
        <f ca="1">IFERROR(__xludf.DUMMYFUNCTION("IMPORTRANGE(""https://docs.google.com/spreadsheets/d/1IYY_tgx_IHuhSq3AJ5eI5OnqOPBNLWSHKh2a30DoXe8/edit?usp=sharing"",""พัทลุง!J314"")"),10)</f>
        <v>10</v>
      </c>
      <c r="K419" s="167">
        <f t="shared" ca="1" si="112"/>
        <v>100</v>
      </c>
      <c r="L419" s="188"/>
      <c r="M419" s="188"/>
      <c r="N419" s="188"/>
      <c r="O419" s="188"/>
      <c r="P419" s="188"/>
    </row>
    <row r="420" spans="1:16" ht="21.75" customHeight="1" x14ac:dyDescent="0.45">
      <c r="A420" s="240"/>
      <c r="B420" s="241"/>
      <c r="C420" s="241"/>
      <c r="D420" s="401"/>
      <c r="E420" s="402"/>
      <c r="F420" s="353"/>
      <c r="G420" s="403" t="s">
        <v>150</v>
      </c>
      <c r="H420" s="355" t="s">
        <v>37</v>
      </c>
      <c r="I420" s="404">
        <f ca="1">IFERROR(__xludf.DUMMYFUNCTION("IMPORTRANGE(""https://docs.google.com/spreadsheets/d/1IYY_tgx_IHuhSq3AJ5eI5OnqOPBNLWSHKh2a30DoXe8/edit?usp=sharing"",""พัทลุง!I315"")"),10)</f>
        <v>10</v>
      </c>
      <c r="J420" s="400">
        <f ca="1">IFERROR(__xludf.DUMMYFUNCTION("IMPORTRANGE(""https://docs.google.com/spreadsheets/d/1IYY_tgx_IHuhSq3AJ5eI5OnqOPBNLWSHKh2a30DoXe8/edit?usp=sharing"",""พัทลุง!J315"")"),10)</f>
        <v>10</v>
      </c>
      <c r="K420" s="294">
        <f t="shared" ca="1" si="112"/>
        <v>100</v>
      </c>
      <c r="L420" s="251"/>
      <c r="M420" s="251"/>
      <c r="N420" s="251"/>
      <c r="O420" s="251"/>
      <c r="P420" s="251"/>
    </row>
    <row r="421" spans="1:16" ht="21.75" customHeight="1" x14ac:dyDescent="0.45">
      <c r="A421" s="182"/>
      <c r="B421" s="183"/>
      <c r="C421" s="183"/>
      <c r="D421" s="200"/>
      <c r="E421" s="205"/>
      <c r="F421" s="396" t="s">
        <v>151</v>
      </c>
      <c r="G421" s="203"/>
      <c r="H421" s="206" t="s">
        <v>37</v>
      </c>
      <c r="I421" s="397">
        <f ca="1">IFERROR(__xludf.DUMMYFUNCTION("IMPORTRANGE(""https://docs.google.com/spreadsheets/d/1IYY_tgx_IHuhSq3AJ5eI5OnqOPBNLWSHKh2a30DoXe8/edit?usp=sharing"",""พัทลุง!I316"")"),25)</f>
        <v>25</v>
      </c>
      <c r="J421" s="398">
        <f ca="1">IFERROR(__xludf.DUMMYFUNCTION("IMPORTRANGE(""https://docs.google.com/spreadsheets/d/1IYY_tgx_IHuhSq3AJ5eI5OnqOPBNLWSHKh2a30DoXe8/edit?usp=sharing"",""พัทลุง!J316"")"),25)</f>
        <v>25</v>
      </c>
      <c r="K421" s="208">
        <f t="shared" ca="1" si="112"/>
        <v>100</v>
      </c>
      <c r="L421" s="188"/>
      <c r="M421" s="188"/>
      <c r="N421" s="188"/>
      <c r="O421" s="188"/>
      <c r="P421" s="188"/>
    </row>
    <row r="422" spans="1:16" ht="21.75" customHeight="1" x14ac:dyDescent="0.45">
      <c r="A422" s="182"/>
      <c r="B422" s="183"/>
      <c r="C422" s="183"/>
      <c r="D422" s="200"/>
      <c r="E422" s="205"/>
      <c r="F422" s="202"/>
      <c r="G422" s="203"/>
      <c r="H422" s="206" t="s">
        <v>122</v>
      </c>
      <c r="I422" s="397">
        <f ca="1">IFERROR(__xludf.DUMMYFUNCTION("IMPORTRANGE(""https://docs.google.com/spreadsheets/d/1IYY_tgx_IHuhSq3AJ5eI5OnqOPBNLWSHKh2a30DoXe8/edit?usp=sharing"",""พัทลุง!I317"")"),75)</f>
        <v>75</v>
      </c>
      <c r="J422" s="399">
        <f ca="1">IFERROR(__xludf.DUMMYFUNCTION("IMPORTRANGE(""https://docs.google.com/spreadsheets/d/1IYY_tgx_IHuhSq3AJ5eI5OnqOPBNLWSHKh2a30DoXe8/edit?usp=sharing"",""พัทลุง!J317"")"),75)</f>
        <v>75</v>
      </c>
      <c r="K422" s="208">
        <f t="shared" ca="1" si="112"/>
        <v>100</v>
      </c>
      <c r="L422" s="188"/>
      <c r="M422" s="188"/>
      <c r="N422" s="188"/>
      <c r="O422" s="188"/>
      <c r="P422" s="188"/>
    </row>
    <row r="423" spans="1:16" ht="21.75" customHeight="1" x14ac:dyDescent="0.45">
      <c r="A423" s="182"/>
      <c r="B423" s="183"/>
      <c r="C423" s="183"/>
      <c r="D423" s="200"/>
      <c r="E423" s="205"/>
      <c r="F423" s="202"/>
      <c r="G423" s="232" t="s">
        <v>152</v>
      </c>
      <c r="H423" s="187" t="s">
        <v>37</v>
      </c>
      <c r="I423" s="347">
        <f ca="1">IFERROR(__xludf.DUMMYFUNCTION("IMPORTRANGE(""https://docs.google.com/spreadsheets/d/1IYY_tgx_IHuhSq3AJ5eI5OnqOPBNLWSHKh2a30DoXe8/edit?usp=sharing"",""พัทลุง!I318"")"),25)</f>
        <v>25</v>
      </c>
      <c r="J423" s="400">
        <f ca="1">IFERROR(__xludf.DUMMYFUNCTION("IMPORTRANGE(""https://docs.google.com/spreadsheets/d/1IYY_tgx_IHuhSq3AJ5eI5OnqOPBNLWSHKh2a30DoXe8/edit?usp=sharing"",""พัทลุง!J318"")"),25)</f>
        <v>25</v>
      </c>
      <c r="K423" s="167">
        <f t="shared" ca="1" si="112"/>
        <v>100</v>
      </c>
      <c r="L423" s="188"/>
      <c r="M423" s="188"/>
      <c r="N423" s="188"/>
      <c r="O423" s="188"/>
      <c r="P423" s="188"/>
    </row>
    <row r="424" spans="1:16" ht="21.75" customHeight="1" x14ac:dyDescent="0.45">
      <c r="A424" s="182"/>
      <c r="B424" s="183"/>
      <c r="C424" s="183"/>
      <c r="D424" s="200"/>
      <c r="E424" s="205"/>
      <c r="F424" s="202"/>
      <c r="G424" s="232" t="s">
        <v>153</v>
      </c>
      <c r="H424" s="187" t="s">
        <v>37</v>
      </c>
      <c r="I424" s="347">
        <f ca="1">IFERROR(__xludf.DUMMYFUNCTION("IMPORTRANGE(""https://docs.google.com/spreadsheets/d/1IYY_tgx_IHuhSq3AJ5eI5OnqOPBNLWSHKh2a30DoXe8/edit?usp=sharing"",""พัทลุง!I319"")"),25)</f>
        <v>25</v>
      </c>
      <c r="J424" s="400">
        <f ca="1">IFERROR(__xludf.DUMMYFUNCTION("IMPORTRANGE(""https://docs.google.com/spreadsheets/d/1IYY_tgx_IHuhSq3AJ5eI5OnqOPBNLWSHKh2a30DoXe8/edit?usp=sharing"",""พัทลุง!J319"")"),25)</f>
        <v>25</v>
      </c>
      <c r="K424" s="167">
        <f t="shared" ca="1" si="112"/>
        <v>100</v>
      </c>
      <c r="L424" s="188"/>
      <c r="M424" s="188"/>
      <c r="N424" s="188"/>
      <c r="O424" s="188"/>
      <c r="P424" s="188"/>
    </row>
    <row r="425" spans="1:16" ht="21.75" customHeight="1" x14ac:dyDescent="0.45">
      <c r="A425" s="182"/>
      <c r="B425" s="183"/>
      <c r="C425" s="183"/>
      <c r="D425" s="200"/>
      <c r="E425" s="205"/>
      <c r="F425" s="202"/>
      <c r="G425" s="232" t="s">
        <v>154</v>
      </c>
      <c r="H425" s="187" t="s">
        <v>37</v>
      </c>
      <c r="I425" s="347">
        <f ca="1">IFERROR(__xludf.DUMMYFUNCTION("IMPORTRANGE(""https://docs.google.com/spreadsheets/d/1IYY_tgx_IHuhSq3AJ5eI5OnqOPBNLWSHKh2a30DoXe8/edit?usp=sharing"",""พัทลุง!I320"")"),25)</f>
        <v>25</v>
      </c>
      <c r="J425" s="400">
        <f ca="1">IFERROR(__xludf.DUMMYFUNCTION("IMPORTRANGE(""https://docs.google.com/spreadsheets/d/1IYY_tgx_IHuhSq3AJ5eI5OnqOPBNLWSHKh2a30DoXe8/edit?usp=sharing"",""พัทลุง!J320"")"),25)</f>
        <v>25</v>
      </c>
      <c r="K425" s="167">
        <f t="shared" ca="1" si="112"/>
        <v>100</v>
      </c>
      <c r="L425" s="188"/>
      <c r="M425" s="188"/>
      <c r="N425" s="188"/>
      <c r="O425" s="188"/>
      <c r="P425" s="188"/>
    </row>
    <row r="426" spans="1:16" ht="21.75" customHeight="1" x14ac:dyDescent="0.45">
      <c r="A426" s="182"/>
      <c r="B426" s="183"/>
      <c r="C426" s="183"/>
      <c r="D426" s="200"/>
      <c r="E426" s="205"/>
      <c r="F426" s="405" t="s">
        <v>155</v>
      </c>
      <c r="G426" s="203"/>
      <c r="H426" s="206" t="s">
        <v>37</v>
      </c>
      <c r="I426" s="397">
        <f ca="1">IFERROR(__xludf.DUMMYFUNCTION("IMPORTRANGE(""https://docs.google.com/spreadsheets/d/1IYY_tgx_IHuhSq3AJ5eI5OnqOPBNLWSHKh2a30DoXe8/edit?usp=sharing"",""พัทลุง!I321"")"),10)</f>
        <v>10</v>
      </c>
      <c r="J426" s="398">
        <f ca="1">IFERROR(__xludf.DUMMYFUNCTION("IMPORTRANGE(""https://docs.google.com/spreadsheets/d/1IYY_tgx_IHuhSq3AJ5eI5OnqOPBNLWSHKh2a30DoXe8/edit?usp=sharing"",""พัทลุง!J321"")"),10)</f>
        <v>10</v>
      </c>
      <c r="K426" s="208">
        <f t="shared" ca="1" si="112"/>
        <v>100</v>
      </c>
      <c r="L426" s="188"/>
      <c r="M426" s="188"/>
      <c r="N426" s="188"/>
      <c r="O426" s="188"/>
      <c r="P426" s="188"/>
    </row>
    <row r="427" spans="1:16" ht="21.75" customHeight="1" x14ac:dyDescent="0.45">
      <c r="A427" s="182"/>
      <c r="B427" s="183"/>
      <c r="C427" s="183"/>
      <c r="D427" s="200"/>
      <c r="E427" s="205"/>
      <c r="F427" s="202"/>
      <c r="G427" s="203"/>
      <c r="H427" s="206" t="s">
        <v>122</v>
      </c>
      <c r="I427" s="397">
        <f ca="1">IFERROR(__xludf.DUMMYFUNCTION("IMPORTRANGE(""https://docs.google.com/spreadsheets/d/1IYY_tgx_IHuhSq3AJ5eI5OnqOPBNLWSHKh2a30DoXe8/edit?usp=sharing"",""พัทลุง!I322"")"),30)</f>
        <v>30</v>
      </c>
      <c r="J427" s="399">
        <f ca="1">IFERROR(__xludf.DUMMYFUNCTION("IMPORTRANGE(""https://docs.google.com/spreadsheets/d/1IYY_tgx_IHuhSq3AJ5eI5OnqOPBNLWSHKh2a30DoXe8/edit?usp=sharing"",""พัทลุง!J322"")"),30)</f>
        <v>30</v>
      </c>
      <c r="K427" s="208">
        <f t="shared" ca="1" si="112"/>
        <v>100</v>
      </c>
      <c r="L427" s="188"/>
      <c r="M427" s="188"/>
      <c r="N427" s="188"/>
      <c r="O427" s="188"/>
      <c r="P427" s="188"/>
    </row>
    <row r="428" spans="1:16" ht="21.75" customHeight="1" x14ac:dyDescent="0.45">
      <c r="A428" s="182"/>
      <c r="B428" s="183"/>
      <c r="C428" s="183"/>
      <c r="D428" s="200"/>
      <c r="E428" s="205"/>
      <c r="F428" s="202"/>
      <c r="G428" s="232" t="s">
        <v>156</v>
      </c>
      <c r="H428" s="187" t="s">
        <v>37</v>
      </c>
      <c r="I428" s="406">
        <f ca="1">IFERROR(__xludf.DUMMYFUNCTION("IMPORTRANGE(""https://docs.google.com/spreadsheets/d/1IYY_tgx_IHuhSq3AJ5eI5OnqOPBNLWSHKh2a30DoXe8/edit?usp=sharing"",""พัทลุง!I323"")"),10)</f>
        <v>10</v>
      </c>
      <c r="J428" s="400">
        <f ca="1">IFERROR(__xludf.DUMMYFUNCTION("IMPORTRANGE(""https://docs.google.com/spreadsheets/d/1IYY_tgx_IHuhSq3AJ5eI5OnqOPBNLWSHKh2a30DoXe8/edit?usp=sharing"",""พัทลุง!J323"")"),10)</f>
        <v>10</v>
      </c>
      <c r="K428" s="167">
        <f t="shared" ca="1" si="112"/>
        <v>100</v>
      </c>
      <c r="L428" s="188"/>
      <c r="M428" s="188"/>
      <c r="N428" s="188"/>
      <c r="O428" s="188"/>
      <c r="P428" s="188"/>
    </row>
    <row r="429" spans="1:16" ht="21.75" customHeight="1" x14ac:dyDescent="0.45">
      <c r="A429" s="182"/>
      <c r="B429" s="183"/>
      <c r="C429" s="183"/>
      <c r="D429" s="200"/>
      <c r="E429" s="205"/>
      <c r="F429" s="202"/>
      <c r="G429" s="232" t="s">
        <v>157</v>
      </c>
      <c r="H429" s="187" t="s">
        <v>37</v>
      </c>
      <c r="I429" s="406">
        <f ca="1">IFERROR(__xludf.DUMMYFUNCTION("IMPORTRANGE(""https://docs.google.com/spreadsheets/d/1IYY_tgx_IHuhSq3AJ5eI5OnqOPBNLWSHKh2a30DoXe8/edit?usp=sharing"",""พัทลุง!I324"")"),10)</f>
        <v>10</v>
      </c>
      <c r="J429" s="400">
        <f ca="1">IFERROR(__xludf.DUMMYFUNCTION("IMPORTRANGE(""https://docs.google.com/spreadsheets/d/1IYY_tgx_IHuhSq3AJ5eI5OnqOPBNLWSHKh2a30DoXe8/edit?usp=sharing"",""พัทลุง!J324"")"),10)</f>
        <v>10</v>
      </c>
      <c r="K429" s="167">
        <f t="shared" ca="1" si="112"/>
        <v>100</v>
      </c>
      <c r="L429" s="188"/>
      <c r="M429" s="188"/>
      <c r="N429" s="188"/>
      <c r="O429" s="188"/>
      <c r="P429" s="188"/>
    </row>
    <row r="430" spans="1:16" ht="21.75" customHeight="1" x14ac:dyDescent="0.45">
      <c r="A430" s="182"/>
      <c r="B430" s="183"/>
      <c r="C430" s="183"/>
      <c r="D430" s="200"/>
      <c r="E430" s="205"/>
      <c r="F430" s="201" t="s">
        <v>52</v>
      </c>
      <c r="G430" s="394"/>
      <c r="H430" s="407" t="s">
        <v>37</v>
      </c>
      <c r="I430" s="207">
        <f ca="1">IFERROR(__xludf.DUMMYFUNCTION("IMPORTRANGE(""https://docs.google.com/spreadsheets/d/1IYY_tgx_IHuhSq3AJ5eI5OnqOPBNLWSHKh2a30DoXe8/edit?usp=sharing"",""พัทลุง!I325"")"),35)</f>
        <v>35</v>
      </c>
      <c r="J430" s="398">
        <f ca="1">IFERROR(__xludf.DUMMYFUNCTION("IMPORTRANGE(""https://docs.google.com/spreadsheets/d/1IYY_tgx_IHuhSq3AJ5eI5OnqOPBNLWSHKh2a30DoXe8/edit?usp=sharing"",""พัทลุง!J325"")"),0)</f>
        <v>0</v>
      </c>
      <c r="K430" s="208">
        <f t="shared" ca="1" si="112"/>
        <v>0</v>
      </c>
      <c r="L430" s="188"/>
      <c r="M430" s="188"/>
      <c r="N430" s="188"/>
      <c r="O430" s="188"/>
      <c r="P430" s="188"/>
    </row>
    <row r="431" spans="1:16" ht="21.75" customHeight="1" x14ac:dyDescent="0.45">
      <c r="A431" s="408"/>
      <c r="B431" s="409"/>
      <c r="C431" s="409"/>
      <c r="D431" s="410"/>
      <c r="E431" s="205"/>
      <c r="F431" s="202"/>
      <c r="G431" s="232" t="s">
        <v>158</v>
      </c>
      <c r="H431" s="187" t="s">
        <v>37</v>
      </c>
      <c r="I431" s="406">
        <f ca="1">IFERROR(__xludf.DUMMYFUNCTION("IMPORTRANGE(""https://docs.google.com/spreadsheets/d/1IYY_tgx_IHuhSq3AJ5eI5OnqOPBNLWSHKh2a30DoXe8/edit?usp=sharing"",""พัทลุง!I326"")"),10)</f>
        <v>10</v>
      </c>
      <c r="J431" s="400">
        <f ca="1">IFERROR(__xludf.DUMMYFUNCTION("IMPORTRANGE(""https://docs.google.com/spreadsheets/d/1IYY_tgx_IHuhSq3AJ5eI5OnqOPBNLWSHKh2a30DoXe8/edit?usp=sharing"",""พัทลุง!J326"")"),0)</f>
        <v>0</v>
      </c>
      <c r="K431" s="167">
        <f t="shared" ca="1" si="112"/>
        <v>0</v>
      </c>
      <c r="L431" s="188"/>
      <c r="M431" s="188"/>
      <c r="N431" s="188"/>
      <c r="O431" s="188"/>
      <c r="P431" s="188"/>
    </row>
    <row r="432" spans="1:16" ht="21.75" customHeight="1" x14ac:dyDescent="0.45">
      <c r="A432" s="408"/>
      <c r="B432" s="409"/>
      <c r="C432" s="409"/>
      <c r="D432" s="410"/>
      <c r="E432" s="205"/>
      <c r="F432" s="202"/>
      <c r="G432" s="232" t="s">
        <v>159</v>
      </c>
      <c r="H432" s="187" t="s">
        <v>37</v>
      </c>
      <c r="I432" s="406">
        <f ca="1">IFERROR(__xludf.DUMMYFUNCTION("IMPORTRANGE(""https://docs.google.com/spreadsheets/d/1IYY_tgx_IHuhSq3AJ5eI5OnqOPBNLWSHKh2a30DoXe8/edit?usp=sharing"",""พัทลุง!I327"")"),25)</f>
        <v>25</v>
      </c>
      <c r="J432" s="400">
        <f ca="1">IFERROR(__xludf.DUMMYFUNCTION("IMPORTRANGE(""https://docs.google.com/spreadsheets/d/1IYY_tgx_IHuhSq3AJ5eI5OnqOPBNLWSHKh2a30DoXe8/edit?usp=sharing"",""พัทลุง!J327"")"),0)</f>
        <v>0</v>
      </c>
      <c r="K432" s="167">
        <f t="shared" ca="1" si="112"/>
        <v>0</v>
      </c>
      <c r="L432" s="188"/>
      <c r="M432" s="188"/>
      <c r="N432" s="188"/>
      <c r="O432" s="188"/>
      <c r="P432" s="188"/>
    </row>
    <row r="433" spans="1:16" ht="21.75" customHeight="1" x14ac:dyDescent="0.35">
      <c r="A433" s="182"/>
      <c r="B433" s="183"/>
      <c r="C433" s="183"/>
      <c r="D433" s="200"/>
      <c r="E433" s="201" t="s">
        <v>53</v>
      </c>
      <c r="F433" s="202"/>
      <c r="G433" s="203"/>
      <c r="H433" s="193"/>
      <c r="I433" s="194"/>
      <c r="J433" s="204">
        <f ca="1">IFERROR(__xludf.DUMMYFUNCTION("IMPORTRANGE(""https://docs.google.com/spreadsheets/d/1IYY_tgx_IHuhSq3AJ5eI5OnqOPBNLWSHKh2a30DoXe8/edit?usp=sharing"",""พัทลุง!J328"")"),0)</f>
        <v>0</v>
      </c>
      <c r="K433" s="167"/>
      <c r="L433" s="188"/>
      <c r="M433" s="188"/>
      <c r="N433" s="188"/>
      <c r="O433" s="188"/>
      <c r="P433" s="188"/>
    </row>
    <row r="434" spans="1:16" ht="21.75" customHeight="1" x14ac:dyDescent="0.35">
      <c r="A434" s="182"/>
      <c r="B434" s="183"/>
      <c r="C434" s="183"/>
      <c r="D434" s="212">
        <v>3</v>
      </c>
      <c r="E434" s="213" t="s">
        <v>54</v>
      </c>
      <c r="F434" s="214"/>
      <c r="G434" s="215"/>
      <c r="H434" s="193"/>
      <c r="I434" s="194"/>
      <c r="J434" s="216">
        <f ca="1">IFERROR(__xludf.DUMMYFUNCTION("IMPORTRANGE(""https://docs.google.com/spreadsheets/d/1IYY_tgx_IHuhSq3AJ5eI5OnqOPBNLWSHKh2a30DoXe8/edit?usp=sharing"",""พัทลุง!J329"")"),0)</f>
        <v>0</v>
      </c>
      <c r="K434" s="167"/>
      <c r="L434" s="188"/>
      <c r="M434" s="188"/>
      <c r="N434" s="188"/>
      <c r="O434" s="188"/>
      <c r="P434" s="188"/>
    </row>
    <row r="435" spans="1:16" ht="21.75" customHeight="1" x14ac:dyDescent="0.35">
      <c r="A435" s="411"/>
      <c r="B435" s="412">
        <v>4</v>
      </c>
      <c r="C435" s="412" t="s">
        <v>160</v>
      </c>
      <c r="D435" s="413"/>
      <c r="E435" s="413"/>
      <c r="F435" s="413"/>
      <c r="G435" s="414"/>
      <c r="H435" s="415" t="s">
        <v>37</v>
      </c>
      <c r="I435" s="416">
        <f ca="1">IFERROR(__xludf.DUMMYFUNCTION("IMPORTRANGE(""https://docs.google.com/spreadsheets/d/1IYY_tgx_IHuhSq3AJ5eI5OnqOPBNLWSHKh2a30DoXe8/edit?usp=sharing"",""พัทลุง!I330"")"),25)</f>
        <v>25</v>
      </c>
      <c r="J435" s="416">
        <f ca="1">IFERROR(__xludf.DUMMYFUNCTION("IMPORTRANGE(""https://docs.google.com/spreadsheets/d/1IYY_tgx_IHuhSq3AJ5eI5OnqOPBNLWSHKh2a30DoXe8/edit?usp=sharing"",""พัทลุง!J330"")"),25)</f>
        <v>25</v>
      </c>
      <c r="K435" s="417">
        <f ca="1">IF(I435&gt;0,J435*100/I435,0)</f>
        <v>100</v>
      </c>
      <c r="L435" s="418">
        <f ca="1">IFERROR(__xludf.DUMMYFUNCTION("IMPORTRANGE(""https://docs.google.com/spreadsheets/d/1IYY_tgx_IHuhSq3AJ5eI5OnqOPBNLWSHKh2a30DoXe8/edit?usp=sharing"",""พัทลุง!L330"")"),213900)</f>
        <v>213900</v>
      </c>
      <c r="M435" s="418"/>
      <c r="N435" s="418">
        <f ca="1">IFERROR(__xludf.DUMMYFUNCTION("IMPORTRANGE(""https://docs.google.com/spreadsheets/d/1IYY_tgx_IHuhSq3AJ5eI5OnqOPBNLWSHKh2a30DoXe8/edit?usp=sharing"",""พัทลุง!M330"")"),157790)</f>
        <v>157790</v>
      </c>
      <c r="O435" s="418">
        <f t="shared" ref="O435:O439" ca="1" si="113">+IF(L435&gt;0,N435*100/L435,0)</f>
        <v>73.768115942028984</v>
      </c>
      <c r="P435" s="418"/>
    </row>
    <row r="436" spans="1:16" ht="21.75" customHeight="1" x14ac:dyDescent="0.35">
      <c r="A436" s="162"/>
      <c r="B436" s="163"/>
      <c r="C436" s="163" t="s">
        <v>16</v>
      </c>
      <c r="D436" s="284" t="s">
        <v>77</v>
      </c>
      <c r="E436" s="171"/>
      <c r="F436" s="171"/>
      <c r="G436" s="164" t="s">
        <v>38</v>
      </c>
      <c r="H436" s="165" t="s">
        <v>12</v>
      </c>
      <c r="I436" s="166" t="s">
        <v>39</v>
      </c>
      <c r="J436" s="166"/>
      <c r="K436" s="167"/>
      <c r="L436" s="168">
        <f ca="1">IFERROR(__xludf.DUMMYFUNCTION("IMPORTRANGE(""https://docs.google.com/spreadsheets/d/1IYY_tgx_IHuhSq3AJ5eI5OnqOPBNLWSHKh2a30DoXe8/edit?usp=sharing"",""พัทลุง!L331"")"),0)</f>
        <v>0</v>
      </c>
      <c r="M436" s="168"/>
      <c r="N436" s="175">
        <f ca="1">IFERROR(__xludf.DUMMYFUNCTION("IMPORTRANGE(""https://docs.google.com/spreadsheets/d/1IYY_tgx_IHuhSq3AJ5eI5OnqOPBNLWSHKh2a30DoXe8/edit?usp=sharing"",""พัทลุง!M331"")"),0)</f>
        <v>0</v>
      </c>
      <c r="O436" s="175">
        <f t="shared" ca="1" si="113"/>
        <v>0</v>
      </c>
      <c r="P436" s="175"/>
    </row>
    <row r="437" spans="1:16" ht="21.75" customHeight="1" x14ac:dyDescent="0.35">
      <c r="A437" s="162"/>
      <c r="B437" s="163"/>
      <c r="C437" s="163"/>
      <c r="D437" s="170"/>
      <c r="E437" s="171"/>
      <c r="F437" s="171" t="s">
        <v>39</v>
      </c>
      <c r="G437" s="384" t="s">
        <v>255</v>
      </c>
      <c r="H437" s="165" t="s">
        <v>12</v>
      </c>
      <c r="I437" s="166"/>
      <c r="J437" s="166"/>
      <c r="K437" s="167"/>
      <c r="L437" s="526">
        <f ca="1">IFERROR(__xludf.DUMMYFUNCTION("IMPORTRANGE(""https://docs.google.com/spreadsheets/d/1IYY_tgx_IHuhSq3AJ5eI5OnqOPBNLWSHKh2a30DoXe8/edit?usp=sharing"",""พัทลุง!L332"")"),213900)</f>
        <v>213900</v>
      </c>
      <c r="M437" s="169"/>
      <c r="N437" s="175">
        <f ca="1">IFERROR(__xludf.DUMMYFUNCTION("IMPORTRANGE(""https://docs.google.com/spreadsheets/d/1IYY_tgx_IHuhSq3AJ5eI5OnqOPBNLWSHKh2a30DoXe8/edit?usp=sharing"",""พัทลุง!M332"")"),157790)</f>
        <v>157790</v>
      </c>
      <c r="O437" s="175">
        <f t="shared" ca="1" si="113"/>
        <v>73.768115942028984</v>
      </c>
      <c r="P437" s="175"/>
    </row>
    <row r="438" spans="1:16" ht="21.75" customHeight="1" x14ac:dyDescent="0.35">
      <c r="A438" s="162"/>
      <c r="B438" s="163"/>
      <c r="C438" s="163"/>
      <c r="D438" s="170"/>
      <c r="E438" s="171"/>
      <c r="F438" s="171"/>
      <c r="G438" s="380" t="s">
        <v>129</v>
      </c>
      <c r="H438" s="165" t="s">
        <v>12</v>
      </c>
      <c r="I438" s="166"/>
      <c r="J438" s="166"/>
      <c r="K438" s="167"/>
      <c r="L438" s="175">
        <f ca="1">IFERROR(__xludf.DUMMYFUNCTION("IMPORTRANGE(""https://docs.google.com/spreadsheets/d/1IYY_tgx_IHuhSq3AJ5eI5OnqOPBNLWSHKh2a30DoXe8/edit?usp=sharing"",""พัทลุง!L333"")"),0)</f>
        <v>0</v>
      </c>
      <c r="M438" s="175"/>
      <c r="N438" s="175">
        <f ca="1">IFERROR(__xludf.DUMMYFUNCTION("IMPORTRANGE(""https://docs.google.com/spreadsheets/d/1IYY_tgx_IHuhSq3AJ5eI5OnqOPBNLWSHKh2a30DoXe8/edit?usp=sharing"",""พัทลุง!M333"")"),0)</f>
        <v>0</v>
      </c>
      <c r="O438" s="175">
        <f t="shared" ca="1" si="113"/>
        <v>0</v>
      </c>
      <c r="P438" s="175"/>
    </row>
    <row r="439" spans="1:16" ht="21.75" customHeight="1" x14ac:dyDescent="0.35">
      <c r="A439" s="162"/>
      <c r="B439" s="163"/>
      <c r="C439" s="163"/>
      <c r="D439" s="170"/>
      <c r="E439" s="171"/>
      <c r="F439" s="171"/>
      <c r="G439" s="380" t="s">
        <v>130</v>
      </c>
      <c r="H439" s="165" t="s">
        <v>12</v>
      </c>
      <c r="I439" s="166"/>
      <c r="J439" s="166"/>
      <c r="K439" s="167"/>
      <c r="L439" s="175">
        <f ca="1">IFERROR(__xludf.DUMMYFUNCTION("IMPORTRANGE(""https://docs.google.com/spreadsheets/d/1IYY_tgx_IHuhSq3AJ5eI5OnqOPBNLWSHKh2a30DoXe8/edit?usp=sharing"",""พัทลุง!L334"")"),110900)</f>
        <v>110900</v>
      </c>
      <c r="M439" s="175"/>
      <c r="N439" s="175">
        <f ca="1">IFERROR(__xludf.DUMMYFUNCTION("IMPORTRANGE(""https://docs.google.com/spreadsheets/d/1IYY_tgx_IHuhSq3AJ5eI5OnqOPBNLWSHKh2a30DoXe8/edit?usp=sharing"",""พัทลุง!M334"")"),54790)</f>
        <v>54790</v>
      </c>
      <c r="O439" s="175">
        <f t="shared" ca="1" si="113"/>
        <v>49.404869251577999</v>
      </c>
      <c r="P439" s="175"/>
    </row>
    <row r="440" spans="1:16" ht="21.75" customHeight="1" x14ac:dyDescent="0.35">
      <c r="A440" s="381"/>
      <c r="B440" s="382"/>
      <c r="C440" s="163"/>
      <c r="D440" s="383"/>
      <c r="E440" s="171"/>
      <c r="F440" s="171"/>
      <c r="G440" s="384" t="s">
        <v>131</v>
      </c>
      <c r="H440" s="165" t="s">
        <v>12</v>
      </c>
      <c r="I440" s="194"/>
      <c r="J440" s="194"/>
      <c r="K440" s="230"/>
      <c r="L440" s="175"/>
      <c r="M440" s="175"/>
      <c r="N440" s="385">
        <f ca="1">IFERROR(__xludf.DUMMYFUNCTION("IMPORTRANGE(""https://docs.google.com/spreadsheets/d/1IYY_tgx_IHuhSq3AJ5eI5OnqOPBNLWSHKh2a30DoXe8/edit?usp=sharing"",""พัทลุง!M335"")"),36900)</f>
        <v>36900</v>
      </c>
      <c r="O440" s="175"/>
      <c r="P440" s="175"/>
    </row>
    <row r="441" spans="1:16" ht="21.75" customHeight="1" x14ac:dyDescent="0.35">
      <c r="A441" s="381"/>
      <c r="B441" s="382"/>
      <c r="C441" s="163"/>
      <c r="D441" s="383"/>
      <c r="E441" s="171"/>
      <c r="F441" s="171"/>
      <c r="G441" s="384" t="s">
        <v>132</v>
      </c>
      <c r="H441" s="165" t="s">
        <v>12</v>
      </c>
      <c r="I441" s="194"/>
      <c r="J441" s="194"/>
      <c r="K441" s="230"/>
      <c r="L441" s="175"/>
      <c r="M441" s="175"/>
      <c r="N441" s="385">
        <f ca="1">IFERROR(__xludf.DUMMYFUNCTION("IMPORTRANGE(""https://docs.google.com/spreadsheets/d/1IYY_tgx_IHuhSq3AJ5eI5OnqOPBNLWSHKh2a30DoXe8/edit?usp=sharing"",""พัทลุง!M336"")"),0)</f>
        <v>0</v>
      </c>
      <c r="O441" s="175"/>
      <c r="P441" s="175"/>
    </row>
    <row r="442" spans="1:16" ht="21.75" customHeight="1" x14ac:dyDescent="0.35">
      <c r="A442" s="381"/>
      <c r="B442" s="382"/>
      <c r="C442" s="163"/>
      <c r="D442" s="383"/>
      <c r="E442" s="171"/>
      <c r="F442" s="171"/>
      <c r="G442" s="384" t="s">
        <v>133</v>
      </c>
      <c r="H442" s="165" t="s">
        <v>12</v>
      </c>
      <c r="I442" s="194"/>
      <c r="J442" s="194"/>
      <c r="K442" s="230"/>
      <c r="L442" s="175"/>
      <c r="M442" s="175"/>
      <c r="N442" s="385">
        <f ca="1">IFERROR(__xludf.DUMMYFUNCTION("IMPORTRANGE(""https://docs.google.com/spreadsheets/d/1IYY_tgx_IHuhSq3AJ5eI5OnqOPBNLWSHKh2a30DoXe8/edit?usp=sharing"",""พัทลุง!M337"")"),0)</f>
        <v>0</v>
      </c>
      <c r="O442" s="175"/>
      <c r="P442" s="175"/>
    </row>
    <row r="443" spans="1:16" ht="21.75" customHeight="1" x14ac:dyDescent="0.35">
      <c r="A443" s="381"/>
      <c r="B443" s="382"/>
      <c r="C443" s="163"/>
      <c r="D443" s="383"/>
      <c r="E443" s="171"/>
      <c r="F443" s="171"/>
      <c r="G443" s="384" t="s">
        <v>134</v>
      </c>
      <c r="H443" s="165" t="s">
        <v>12</v>
      </c>
      <c r="I443" s="194"/>
      <c r="J443" s="194"/>
      <c r="K443" s="230"/>
      <c r="L443" s="175"/>
      <c r="M443" s="175"/>
      <c r="N443" s="385">
        <f ca="1">IFERROR(__xludf.DUMMYFUNCTION("IMPORTRANGE(""https://docs.google.com/spreadsheets/d/1IYY_tgx_IHuhSq3AJ5eI5OnqOPBNLWSHKh2a30DoXe8/edit?usp=sharing"",""พัทลุง!M338"")"),17890)</f>
        <v>17890</v>
      </c>
      <c r="O443" s="175"/>
      <c r="P443" s="175"/>
    </row>
    <row r="444" spans="1:16" ht="21.75" customHeight="1" x14ac:dyDescent="0.35">
      <c r="A444" s="182"/>
      <c r="B444" s="183"/>
      <c r="C444" s="163" t="s">
        <v>16</v>
      </c>
      <c r="D444" s="184" t="s">
        <v>43</v>
      </c>
      <c r="E444" s="185"/>
      <c r="F444" s="185"/>
      <c r="G444" s="186"/>
      <c r="H444" s="187"/>
      <c r="I444" s="166"/>
      <c r="J444" s="166"/>
      <c r="K444" s="167"/>
      <c r="L444" s="188"/>
      <c r="M444" s="188"/>
      <c r="N444" s="188"/>
      <c r="O444" s="188"/>
      <c r="P444" s="188"/>
    </row>
    <row r="445" spans="1:16" ht="21.75" customHeight="1" x14ac:dyDescent="0.35">
      <c r="A445" s="182"/>
      <c r="B445" s="183"/>
      <c r="C445" s="183"/>
      <c r="D445" s="189">
        <v>1</v>
      </c>
      <c r="E445" s="190" t="s">
        <v>44</v>
      </c>
      <c r="F445" s="191"/>
      <c r="G445" s="192"/>
      <c r="H445" s="193"/>
      <c r="I445" s="194"/>
      <c r="J445" s="216">
        <f ca="1">IFERROR(__xludf.DUMMYFUNCTION("IMPORTRANGE(""https://docs.google.com/spreadsheets/d/1IYY_tgx_IHuhSq3AJ5eI5OnqOPBNLWSHKh2a30DoXe8/edit?usp=sharing"",""พัทลุง!J340"")"),0)</f>
        <v>0</v>
      </c>
      <c r="K445" s="167"/>
      <c r="L445" s="188"/>
      <c r="M445" s="188"/>
      <c r="N445" s="188"/>
      <c r="O445" s="188"/>
      <c r="P445" s="188"/>
    </row>
    <row r="446" spans="1:16" ht="21.75" customHeight="1" x14ac:dyDescent="0.35">
      <c r="A446" s="182"/>
      <c r="B446" s="183"/>
      <c r="C446" s="183"/>
      <c r="D446" s="196">
        <v>2</v>
      </c>
      <c r="E446" s="197" t="s">
        <v>45</v>
      </c>
      <c r="F446" s="198"/>
      <c r="G446" s="199"/>
      <c r="H446" s="193"/>
      <c r="I446" s="194"/>
      <c r="J446" s="419">
        <f ca="1">IFERROR(__xludf.DUMMYFUNCTION("IMPORTRANGE(""https://docs.google.com/spreadsheets/d/1IYY_tgx_IHuhSq3AJ5eI5OnqOPBNLWSHKh2a30DoXe8/edit?usp=sharing"",""พัทลุง!J341"")"),1)</f>
        <v>1</v>
      </c>
      <c r="K446" s="167"/>
      <c r="L446" s="188" t="s">
        <v>39</v>
      </c>
      <c r="M446" s="188"/>
      <c r="N446" s="188" t="s">
        <v>39</v>
      </c>
      <c r="O446" s="188"/>
      <c r="P446" s="188"/>
    </row>
    <row r="447" spans="1:16" ht="21.75" customHeight="1" x14ac:dyDescent="0.35">
      <c r="A447" s="182"/>
      <c r="B447" s="183"/>
      <c r="C447" s="183"/>
      <c r="D447" s="200"/>
      <c r="E447" s="201" t="s">
        <v>161</v>
      </c>
      <c r="F447" s="202"/>
      <c r="G447" s="203"/>
      <c r="H447" s="193"/>
      <c r="I447" s="194"/>
      <c r="J447" s="195">
        <f ca="1">IFERROR(__xludf.DUMMYFUNCTION("IMPORTRANGE(""https://docs.google.com/spreadsheets/d/1IYY_tgx_IHuhSq3AJ5eI5OnqOPBNLWSHKh2a30DoXe8/edit?usp=sharing"",""พัทลุง!J342"")"),1)</f>
        <v>1</v>
      </c>
      <c r="K447" s="167"/>
      <c r="L447" s="188"/>
      <c r="M447" s="188"/>
      <c r="N447" s="188"/>
      <c r="O447" s="188"/>
      <c r="P447" s="188"/>
    </row>
    <row r="448" spans="1:16" ht="21.75" customHeight="1" x14ac:dyDescent="0.35">
      <c r="A448" s="182"/>
      <c r="B448" s="183"/>
      <c r="C448" s="183"/>
      <c r="D448" s="200"/>
      <c r="E448" s="201" t="s">
        <v>47</v>
      </c>
      <c r="F448" s="202"/>
      <c r="G448" s="203"/>
      <c r="H448" s="193"/>
      <c r="I448" s="194"/>
      <c r="J448" s="195">
        <f ca="1">IFERROR(__xludf.DUMMYFUNCTION("IMPORTRANGE(""https://docs.google.com/spreadsheets/d/1IYY_tgx_IHuhSq3AJ5eI5OnqOPBNLWSHKh2a30DoXe8/edit?usp=sharing"",""พัทลุง!J343"")"),1)</f>
        <v>1</v>
      </c>
      <c r="K448" s="167"/>
      <c r="L448" s="188"/>
      <c r="M448" s="188"/>
      <c r="N448" s="188"/>
      <c r="O448" s="188"/>
      <c r="P448" s="188"/>
    </row>
    <row r="449" spans="1:16" ht="21.75" customHeight="1" x14ac:dyDescent="0.35">
      <c r="A449" s="182"/>
      <c r="B449" s="183"/>
      <c r="C449" s="183"/>
      <c r="D449" s="200"/>
      <c r="E449" s="205"/>
      <c r="F449" s="420" t="s">
        <v>101</v>
      </c>
      <c r="G449" s="203"/>
      <c r="H449" s="193" t="s">
        <v>37</v>
      </c>
      <c r="I449" s="397">
        <f ca="1">IFERROR(__xludf.DUMMYFUNCTION("IMPORTRANGE(""https://docs.google.com/spreadsheets/d/1IYY_tgx_IHuhSq3AJ5eI5OnqOPBNLWSHKh2a30DoXe8/edit?usp=sharing"",""พัทลุง!I344"")"),25)</f>
        <v>25</v>
      </c>
      <c r="J449" s="207">
        <f ca="1">IFERROR(__xludf.DUMMYFUNCTION("IMPORTRANGE(""https://docs.google.com/spreadsheets/d/1IYY_tgx_IHuhSq3AJ5eI5OnqOPBNLWSHKh2a30DoXe8/edit?usp=sharing"",""พัทลุง!J344"")"),25)</f>
        <v>25</v>
      </c>
      <c r="K449" s="167">
        <f t="shared" ref="K449:K452" ca="1" si="114">IF(I449&gt;0,J449*100/I449,0)</f>
        <v>100</v>
      </c>
      <c r="L449" s="188"/>
      <c r="M449" s="188"/>
      <c r="N449" s="188"/>
      <c r="O449" s="188"/>
      <c r="P449" s="188"/>
    </row>
    <row r="450" spans="1:16" ht="21.75" customHeight="1" x14ac:dyDescent="0.35">
      <c r="A450" s="182"/>
      <c r="B450" s="183"/>
      <c r="C450" s="183"/>
      <c r="D450" s="200"/>
      <c r="E450" s="205"/>
      <c r="F450" s="202"/>
      <c r="G450" s="232" t="s">
        <v>162</v>
      </c>
      <c r="H450" s="193" t="s">
        <v>37</v>
      </c>
      <c r="I450" s="347">
        <f ca="1">IFERROR(__xludf.DUMMYFUNCTION("IMPORTRANGE(""https://docs.google.com/spreadsheets/d/1IYY_tgx_IHuhSq3AJ5eI5OnqOPBNLWSHKh2a30DoXe8/edit?usp=sharing"",""พัทลุง!I345"")"),25)</f>
        <v>25</v>
      </c>
      <c r="J450" s="195">
        <f ca="1">IFERROR(__xludf.DUMMYFUNCTION("IMPORTRANGE(""https://docs.google.com/spreadsheets/d/1IYY_tgx_IHuhSq3AJ5eI5OnqOPBNLWSHKh2a30DoXe8/edit?usp=sharing"",""พัทลุง!J345"")"),25)</f>
        <v>25</v>
      </c>
      <c r="K450" s="167">
        <f t="shared" ca="1" si="114"/>
        <v>100</v>
      </c>
      <c r="L450" s="188"/>
      <c r="M450" s="188"/>
      <c r="N450" s="188"/>
      <c r="O450" s="188"/>
      <c r="P450" s="188"/>
    </row>
    <row r="451" spans="1:16" ht="21.75" customHeight="1" x14ac:dyDescent="0.35">
      <c r="A451" s="182"/>
      <c r="B451" s="183"/>
      <c r="C451" s="183"/>
      <c r="D451" s="200"/>
      <c r="E451" s="205"/>
      <c r="F451" s="202"/>
      <c r="G451" s="287" t="s">
        <v>163</v>
      </c>
      <c r="H451" s="193" t="s">
        <v>37</v>
      </c>
      <c r="I451" s="347">
        <f ca="1">IFERROR(__xludf.DUMMYFUNCTION("IMPORTRANGE(""https://docs.google.com/spreadsheets/d/1IYY_tgx_IHuhSq3AJ5eI5OnqOPBNLWSHKh2a30DoXe8/edit?usp=sharing"",""พัทลุง!I346"")"),0)</f>
        <v>0</v>
      </c>
      <c r="J451" s="194">
        <f ca="1">IFERROR(__xludf.DUMMYFUNCTION("IMPORTRANGE(""https://docs.google.com/spreadsheets/d/1IYY_tgx_IHuhSq3AJ5eI5OnqOPBNLWSHKh2a30DoXe8/edit?usp=sharing"",""พัทลุง!J346"")"),0)</f>
        <v>0</v>
      </c>
      <c r="K451" s="167">
        <f t="shared" ca="1" si="114"/>
        <v>0</v>
      </c>
      <c r="L451" s="188"/>
      <c r="M451" s="188"/>
      <c r="N451" s="188"/>
      <c r="O451" s="188"/>
      <c r="P451" s="188"/>
    </row>
    <row r="452" spans="1:16" ht="21.75" hidden="1" customHeight="1" x14ac:dyDescent="0.35">
      <c r="A452" s="182"/>
      <c r="B452" s="183"/>
      <c r="C452" s="183"/>
      <c r="D452" s="200"/>
      <c r="E452" s="205"/>
      <c r="F452" s="202"/>
      <c r="G452" s="203" t="s">
        <v>164</v>
      </c>
      <c r="H452" s="193" t="s">
        <v>37</v>
      </c>
      <c r="I452" s="194">
        <f ca="1">IFERROR(__xludf.DUMMYFUNCTION("IMPORTRANGE(""https://docs.google.com/spreadsheets/d/1IYY_tgx_IHuhSq3AJ5eI5OnqOPBNLWSHKh2a30DoXe8/edit?usp=sharing"",""พัทลุง!I347"")"),0)</f>
        <v>0</v>
      </c>
      <c r="J452" s="194">
        <f ca="1">IFERROR(__xludf.DUMMYFUNCTION("IMPORTRANGE(""https://docs.google.com/spreadsheets/d/1IYY_tgx_IHuhSq3AJ5eI5OnqOPBNLWSHKh2a30DoXe8/edit?usp=sharing"",""พัทลุง!J347"")"),0)</f>
        <v>0</v>
      </c>
      <c r="K452" s="167">
        <f t="shared" ca="1" si="114"/>
        <v>0</v>
      </c>
      <c r="L452" s="188"/>
      <c r="M452" s="188"/>
      <c r="N452" s="188"/>
      <c r="O452" s="188"/>
      <c r="P452" s="188"/>
    </row>
    <row r="453" spans="1:16" ht="21.75" customHeight="1" x14ac:dyDescent="0.35">
      <c r="A453" s="182"/>
      <c r="B453" s="183"/>
      <c r="C453" s="183"/>
      <c r="D453" s="200"/>
      <c r="E453" s="201" t="s">
        <v>53</v>
      </c>
      <c r="F453" s="202"/>
      <c r="G453" s="203"/>
      <c r="H453" s="193"/>
      <c r="I453" s="194"/>
      <c r="J453" s="204">
        <f ca="1">IFERROR(__xludf.DUMMYFUNCTION("IMPORTRANGE(""https://docs.google.com/spreadsheets/d/1IYY_tgx_IHuhSq3AJ5eI5OnqOPBNLWSHKh2a30DoXe8/edit?usp=sharing"",""พัทลุง!J348"")"),0)</f>
        <v>0</v>
      </c>
      <c r="K453" s="167"/>
      <c r="L453" s="188"/>
      <c r="M453" s="188"/>
      <c r="N453" s="188"/>
      <c r="O453" s="188"/>
      <c r="P453" s="188"/>
    </row>
    <row r="454" spans="1:16" ht="21.75" customHeight="1" x14ac:dyDescent="0.35">
      <c r="A454" s="182"/>
      <c r="B454" s="183"/>
      <c r="C454" s="183"/>
      <c r="D454" s="212">
        <v>3</v>
      </c>
      <c r="E454" s="213" t="s">
        <v>54</v>
      </c>
      <c r="F454" s="214"/>
      <c r="G454" s="215"/>
      <c r="H454" s="193"/>
      <c r="I454" s="194"/>
      <c r="J454" s="216">
        <f ca="1">IFERROR(__xludf.DUMMYFUNCTION("IMPORTRANGE(""https://docs.google.com/spreadsheets/d/1IYY_tgx_IHuhSq3AJ5eI5OnqOPBNLWSHKh2a30DoXe8/edit?usp=sharing"",""พัทลุง!J349"")"),0)</f>
        <v>0</v>
      </c>
      <c r="K454" s="167"/>
      <c r="L454" s="188"/>
      <c r="M454" s="188"/>
      <c r="N454" s="188"/>
      <c r="O454" s="188"/>
      <c r="P454" s="188"/>
    </row>
    <row r="455" spans="1:16" ht="21.75" customHeight="1" x14ac:dyDescent="0.35">
      <c r="A455" s="372"/>
      <c r="B455" s="373">
        <v>5</v>
      </c>
      <c r="C455" s="374" t="s">
        <v>165</v>
      </c>
      <c r="D455" s="374"/>
      <c r="E455" s="374"/>
      <c r="F455" s="374"/>
      <c r="G455" s="375"/>
      <c r="H455" s="376" t="s">
        <v>122</v>
      </c>
      <c r="I455" s="377">
        <f ca="1">IFERROR(__xludf.DUMMYFUNCTION("IMPORTRANGE(""https://docs.google.com/spreadsheets/d/1IYY_tgx_IHuhSq3AJ5eI5OnqOPBNLWSHKh2a30DoXe8/edit?usp=sharing"",""พัทลุง!I350"")"),29774)</f>
        <v>29774</v>
      </c>
      <c r="J455" s="377">
        <f ca="1">IFERROR(__xludf.DUMMYFUNCTION("IMPORTRANGE(""https://docs.google.com/spreadsheets/d/1IYY_tgx_IHuhSq3AJ5eI5OnqOPBNLWSHKh2a30DoXe8/edit?usp=sharing"",""พัทลุง!J350"")"),29775)</f>
        <v>29775</v>
      </c>
      <c r="K455" s="378">
        <f ca="1">IF(I455&gt;0,J455*100/I455,0)</f>
        <v>100.00335863505072</v>
      </c>
      <c r="L455" s="379">
        <f ca="1">IFERROR(__xludf.DUMMYFUNCTION("IMPORTRANGE(""https://docs.google.com/spreadsheets/d/1IYY_tgx_IHuhSq3AJ5eI5OnqOPBNLWSHKh2a30DoXe8/edit?usp=sharing"",""พัทลุง!L350"")"),346251.84)</f>
        <v>346251.84</v>
      </c>
      <c r="M455" s="379"/>
      <c r="N455" s="379">
        <f ca="1">IFERROR(__xludf.DUMMYFUNCTION("IMPORTRANGE(""https://docs.google.com/spreadsheets/d/1IYY_tgx_IHuhSq3AJ5eI5OnqOPBNLWSHKh2a30DoXe8/edit?usp=sharing"",""พัทลุง!M350"")"),93631.47)</f>
        <v>93631.47</v>
      </c>
      <c r="O455" s="379">
        <f t="shared" ref="O455:O459" ca="1" si="115">+IF(L455&gt;0,N455*100/L455,0)</f>
        <v>27.04143608305446</v>
      </c>
      <c r="P455" s="379"/>
    </row>
    <row r="456" spans="1:16" ht="21.75" customHeight="1" x14ac:dyDescent="0.35">
      <c r="A456" s="162"/>
      <c r="B456" s="163"/>
      <c r="C456" s="163" t="s">
        <v>16</v>
      </c>
      <c r="D456" s="284" t="s">
        <v>77</v>
      </c>
      <c r="E456" s="171"/>
      <c r="F456" s="171"/>
      <c r="G456" s="164" t="s">
        <v>38</v>
      </c>
      <c r="H456" s="165" t="s">
        <v>12</v>
      </c>
      <c r="I456" s="166" t="s">
        <v>39</v>
      </c>
      <c r="J456" s="166"/>
      <c r="K456" s="167"/>
      <c r="L456" s="168">
        <f ca="1">IFERROR(__xludf.DUMMYFUNCTION("IMPORTRANGE(""https://docs.google.com/spreadsheets/d/1IYY_tgx_IHuhSq3AJ5eI5OnqOPBNLWSHKh2a30DoXe8/edit?usp=sharing"",""พัทลุง!L351"")"),0)</f>
        <v>0</v>
      </c>
      <c r="M456" s="168"/>
      <c r="N456" s="175">
        <f ca="1">IFERROR(__xludf.DUMMYFUNCTION("IMPORTRANGE(""https://docs.google.com/spreadsheets/d/1IYY_tgx_IHuhSq3AJ5eI5OnqOPBNLWSHKh2a30DoXe8/edit?usp=sharing"",""พัทลุง!M351"")"),0)</f>
        <v>0</v>
      </c>
      <c r="O456" s="175">
        <f t="shared" ca="1" si="115"/>
        <v>0</v>
      </c>
      <c r="P456" s="175"/>
    </row>
    <row r="457" spans="1:16" ht="21.75" customHeight="1" x14ac:dyDescent="0.35">
      <c r="A457" s="162"/>
      <c r="B457" s="163"/>
      <c r="C457" s="163"/>
      <c r="D457" s="170"/>
      <c r="E457" s="171"/>
      <c r="F457" s="171" t="s">
        <v>39</v>
      </c>
      <c r="G457" s="164" t="s">
        <v>40</v>
      </c>
      <c r="H457" s="165" t="s">
        <v>12</v>
      </c>
      <c r="I457" s="166"/>
      <c r="J457" s="166"/>
      <c r="K457" s="167"/>
      <c r="L457" s="169">
        <f ca="1">IFERROR(__xludf.DUMMYFUNCTION("IMPORTRANGE(""https://docs.google.com/spreadsheets/d/1IYY_tgx_IHuhSq3AJ5eI5OnqOPBNLWSHKh2a30DoXe8/edit?usp=sharing"",""พัทลุง!L352"")"),346251.84)</f>
        <v>346251.84</v>
      </c>
      <c r="M457" s="169"/>
      <c r="N457" s="175">
        <f ca="1">IFERROR(__xludf.DUMMYFUNCTION("IMPORTRANGE(""https://docs.google.com/spreadsheets/d/1IYY_tgx_IHuhSq3AJ5eI5OnqOPBNLWSHKh2a30DoXe8/edit?usp=sharing"",""พัทลุง!M352"")"),93631.47)</f>
        <v>93631.47</v>
      </c>
      <c r="O457" s="175">
        <f t="shared" ca="1" si="115"/>
        <v>27.04143608305446</v>
      </c>
      <c r="P457" s="175"/>
    </row>
    <row r="458" spans="1:16" ht="21.75" customHeight="1" x14ac:dyDescent="0.35">
      <c r="A458" s="162"/>
      <c r="B458" s="163"/>
      <c r="C458" s="163"/>
      <c r="D458" s="170"/>
      <c r="E458" s="171"/>
      <c r="F458" s="171"/>
      <c r="G458" s="380" t="s">
        <v>129</v>
      </c>
      <c r="H458" s="165" t="s">
        <v>12</v>
      </c>
      <c r="I458" s="166"/>
      <c r="J458" s="166"/>
      <c r="K458" s="167"/>
      <c r="L458" s="175">
        <f ca="1">IFERROR(__xludf.DUMMYFUNCTION("IMPORTRANGE(""https://docs.google.com/spreadsheets/d/1IYY_tgx_IHuhSq3AJ5eI5OnqOPBNLWSHKh2a30DoXe8/edit?usp=sharing"",""พัทลุง!L353"")"),0)</f>
        <v>0</v>
      </c>
      <c r="M458" s="175"/>
      <c r="N458" s="175">
        <f ca="1">IFERROR(__xludf.DUMMYFUNCTION("IMPORTRANGE(""https://docs.google.com/spreadsheets/d/1IYY_tgx_IHuhSq3AJ5eI5OnqOPBNLWSHKh2a30DoXe8/edit?usp=sharing"",""พัทลุง!M353"")"),0)</f>
        <v>0</v>
      </c>
      <c r="O458" s="175">
        <f t="shared" ca="1" si="115"/>
        <v>0</v>
      </c>
      <c r="P458" s="175"/>
    </row>
    <row r="459" spans="1:16" ht="21.75" customHeight="1" x14ac:dyDescent="0.35">
      <c r="A459" s="162"/>
      <c r="B459" s="163"/>
      <c r="C459" s="163"/>
      <c r="D459" s="170"/>
      <c r="E459" s="171"/>
      <c r="F459" s="171"/>
      <c r="G459" s="380" t="s">
        <v>130</v>
      </c>
      <c r="H459" s="165" t="s">
        <v>12</v>
      </c>
      <c r="I459" s="166"/>
      <c r="J459" s="166"/>
      <c r="K459" s="167"/>
      <c r="L459" s="175">
        <f ca="1">IFERROR(__xludf.DUMMYFUNCTION("IMPORTRANGE(""https://docs.google.com/spreadsheets/d/1IYY_tgx_IHuhSq3AJ5eI5OnqOPBNLWSHKh2a30DoXe8/edit?usp=sharing"",""พัทลุง!L354"")"),346251.84)</f>
        <v>346251.84</v>
      </c>
      <c r="M459" s="175"/>
      <c r="N459" s="175">
        <f ca="1">IFERROR(__xludf.DUMMYFUNCTION("IMPORTRANGE(""https://docs.google.com/spreadsheets/d/1IYY_tgx_IHuhSq3AJ5eI5OnqOPBNLWSHKh2a30DoXe8/edit?usp=sharing"",""พัทลุง!M354"")"),93631.47)</f>
        <v>93631.47</v>
      </c>
      <c r="O459" s="175">
        <f t="shared" ca="1" si="115"/>
        <v>27.04143608305446</v>
      </c>
      <c r="P459" s="175"/>
    </row>
    <row r="460" spans="1:16" ht="21.75" customHeight="1" x14ac:dyDescent="0.35">
      <c r="A460" s="381"/>
      <c r="B460" s="382"/>
      <c r="C460" s="163"/>
      <c r="D460" s="383"/>
      <c r="E460" s="171"/>
      <c r="F460" s="171"/>
      <c r="G460" s="384" t="s">
        <v>131</v>
      </c>
      <c r="H460" s="165" t="s">
        <v>12</v>
      </c>
      <c r="I460" s="194"/>
      <c r="J460" s="194"/>
      <c r="K460" s="230"/>
      <c r="L460" s="175"/>
      <c r="M460" s="175"/>
      <c r="N460" s="172">
        <f ca="1">IFERROR(__xludf.DUMMYFUNCTION("IMPORTRANGE(""https://docs.google.com/spreadsheets/d/1IYY_tgx_IHuhSq3AJ5eI5OnqOPBNLWSHKh2a30DoXe8/edit?usp=sharing"",""พัทลุง!M355"")"),0)</f>
        <v>0</v>
      </c>
      <c r="O460" s="175"/>
      <c r="P460" s="175"/>
    </row>
    <row r="461" spans="1:16" ht="21.75" customHeight="1" x14ac:dyDescent="0.35">
      <c r="A461" s="381"/>
      <c r="B461" s="382"/>
      <c r="C461" s="163"/>
      <c r="D461" s="383"/>
      <c r="E461" s="171"/>
      <c r="F461" s="171"/>
      <c r="G461" s="384" t="s">
        <v>132</v>
      </c>
      <c r="H461" s="165" t="s">
        <v>12</v>
      </c>
      <c r="I461" s="194"/>
      <c r="J461" s="194"/>
      <c r="K461" s="230"/>
      <c r="L461" s="175"/>
      <c r="M461" s="175"/>
      <c r="N461" s="172">
        <f ca="1">IFERROR(__xludf.DUMMYFUNCTION("IMPORTRANGE(""https://docs.google.com/spreadsheets/d/1IYY_tgx_IHuhSq3AJ5eI5OnqOPBNLWSHKh2a30DoXe8/edit?usp=sharing"",""พัทลุง!M356"")"),0)</f>
        <v>0</v>
      </c>
      <c r="O461" s="175"/>
      <c r="P461" s="175"/>
    </row>
    <row r="462" spans="1:16" ht="21.75" customHeight="1" x14ac:dyDescent="0.35">
      <c r="A462" s="381"/>
      <c r="B462" s="382"/>
      <c r="C462" s="163"/>
      <c r="D462" s="383"/>
      <c r="E462" s="171"/>
      <c r="F462" s="171"/>
      <c r="G462" s="384" t="s">
        <v>133</v>
      </c>
      <c r="H462" s="165" t="s">
        <v>12</v>
      </c>
      <c r="I462" s="194"/>
      <c r="J462" s="194"/>
      <c r="K462" s="230"/>
      <c r="L462" s="175"/>
      <c r="M462" s="175"/>
      <c r="N462" s="385">
        <f ca="1">IFERROR(__xludf.DUMMYFUNCTION("IMPORTRANGE(""https://docs.google.com/spreadsheets/d/1IYY_tgx_IHuhSq3AJ5eI5OnqOPBNLWSHKh2a30DoXe8/edit?usp=sharing"",""พัทลุง!M357"")"),52504.47)</f>
        <v>52504.47</v>
      </c>
      <c r="O462" s="175"/>
      <c r="P462" s="175"/>
    </row>
    <row r="463" spans="1:16" ht="21.75" customHeight="1" x14ac:dyDescent="0.35">
      <c r="A463" s="381"/>
      <c r="B463" s="382"/>
      <c r="C463" s="163"/>
      <c r="D463" s="383"/>
      <c r="E463" s="171"/>
      <c r="F463" s="171"/>
      <c r="G463" s="384" t="s">
        <v>134</v>
      </c>
      <c r="H463" s="165" t="s">
        <v>12</v>
      </c>
      <c r="I463" s="194"/>
      <c r="J463" s="194"/>
      <c r="K463" s="230"/>
      <c r="L463" s="175"/>
      <c r="M463" s="175"/>
      <c r="N463" s="385">
        <f ca="1">IFERROR(__xludf.DUMMYFUNCTION("IMPORTRANGE(""https://docs.google.com/spreadsheets/d/1IYY_tgx_IHuhSq3AJ5eI5OnqOPBNLWSHKh2a30DoXe8/edit?usp=sharing"",""พัทลุง!M358"")"),41127)</f>
        <v>41127</v>
      </c>
      <c r="O463" s="175"/>
      <c r="P463" s="175"/>
    </row>
    <row r="464" spans="1:16" ht="21.75" customHeight="1" x14ac:dyDescent="0.35">
      <c r="A464" s="182"/>
      <c r="B464" s="183"/>
      <c r="C464" s="421" t="s">
        <v>166</v>
      </c>
      <c r="D464" s="421"/>
      <c r="E464" s="422"/>
      <c r="F464" s="422"/>
      <c r="G464" s="423"/>
      <c r="H464" s="272" t="s">
        <v>122</v>
      </c>
      <c r="I464" s="273">
        <f ca="1">IFERROR(__xludf.DUMMYFUNCTION("IMPORTRANGE(""https://docs.google.com/spreadsheets/d/1IYY_tgx_IHuhSq3AJ5eI5OnqOPBNLWSHKh2a30DoXe8/edit?usp=sharing"",""พัทลุง!I359"")"),29774)</f>
        <v>29774</v>
      </c>
      <c r="J464" s="273">
        <f ca="1">IFERROR(__xludf.DUMMYFUNCTION("IMPORTRANGE(""https://docs.google.com/spreadsheets/d/1IYY_tgx_IHuhSq3AJ5eI5OnqOPBNLWSHKh2a30DoXe8/edit?usp=sharing"",""พัทลุง!J359"")"),29775)</f>
        <v>29775</v>
      </c>
      <c r="K464" s="274">
        <f t="shared" ref="K464:K515" ca="1" si="116">IF(I464&gt;0,J464*100/I464,0)</f>
        <v>100.00335863505072</v>
      </c>
      <c r="L464" s="298"/>
      <c r="M464" s="298"/>
      <c r="N464" s="298"/>
      <c r="O464" s="298"/>
      <c r="P464" s="298"/>
    </row>
    <row r="465" spans="1:16" ht="21.75" customHeight="1" x14ac:dyDescent="0.35">
      <c r="A465" s="408"/>
      <c r="B465" s="409"/>
      <c r="C465" s="409"/>
      <c r="D465" s="410"/>
      <c r="E465" s="200" t="s">
        <v>167</v>
      </c>
      <c r="F465" s="202"/>
      <c r="G465" s="203"/>
      <c r="H465" s="424" t="s">
        <v>122</v>
      </c>
      <c r="I465" s="425">
        <f ca="1">IFERROR(__xludf.DUMMYFUNCTION("IMPORTRANGE(""https://docs.google.com/spreadsheets/d/1IYY_tgx_IHuhSq3AJ5eI5OnqOPBNLWSHKh2a30DoXe8/edit?usp=sharing"",""พัทลุง!I360"")"),29774)</f>
        <v>29774</v>
      </c>
      <c r="J465" s="426">
        <f ca="1">IFERROR(__xludf.DUMMYFUNCTION("IMPORTRANGE(""https://docs.google.com/spreadsheets/d/1IYY_tgx_IHuhSq3AJ5eI5OnqOPBNLWSHKh2a30DoXe8/edit?usp=sharing"",""พัทลุง!J360"")"),29776)</f>
        <v>29776</v>
      </c>
      <c r="K465" s="208">
        <f t="shared" ca="1" si="116"/>
        <v>100.00671727010143</v>
      </c>
      <c r="L465" s="188"/>
      <c r="M465" s="188"/>
      <c r="N465" s="188"/>
      <c r="O465" s="188"/>
      <c r="P465" s="188"/>
    </row>
    <row r="466" spans="1:16" ht="21.75" customHeight="1" x14ac:dyDescent="0.35">
      <c r="A466" s="408"/>
      <c r="B466" s="409"/>
      <c r="C466" s="409"/>
      <c r="D466" s="410"/>
      <c r="E466" s="202"/>
      <c r="F466" s="202"/>
      <c r="G466" s="203"/>
      <c r="H466" s="424" t="s">
        <v>36</v>
      </c>
      <c r="I466" s="425">
        <f ca="1">IFERROR(__xludf.DUMMYFUNCTION("IMPORTRANGE(""https://docs.google.com/spreadsheets/d/1IYY_tgx_IHuhSq3AJ5eI5OnqOPBNLWSHKh2a30DoXe8/edit?usp=sharing"",""พัทลุง!I361"")"),5540)</f>
        <v>5540</v>
      </c>
      <c r="J466" s="426">
        <f ca="1">IFERROR(__xludf.DUMMYFUNCTION("IMPORTRANGE(""https://docs.google.com/spreadsheets/d/1IYY_tgx_IHuhSq3AJ5eI5OnqOPBNLWSHKh2a30DoXe8/edit?usp=sharing"",""พัทลุง!J361"")"),5540)</f>
        <v>5540</v>
      </c>
      <c r="K466" s="208">
        <f t="shared" ca="1" si="116"/>
        <v>100</v>
      </c>
      <c r="L466" s="188"/>
      <c r="M466" s="188"/>
      <c r="N466" s="188"/>
      <c r="O466" s="188"/>
      <c r="P466" s="188"/>
    </row>
    <row r="467" spans="1:16" ht="21.75" customHeight="1" x14ac:dyDescent="0.35">
      <c r="A467" s="408"/>
      <c r="B467" s="409"/>
      <c r="C467" s="409"/>
      <c r="D467" s="410"/>
      <c r="E467" s="202"/>
      <c r="F467" s="396" t="s">
        <v>168</v>
      </c>
      <c r="G467" s="427"/>
      <c r="H467" s="428" t="s">
        <v>122</v>
      </c>
      <c r="I467" s="209">
        <f ca="1">IFERROR(__xludf.DUMMYFUNCTION("IMPORTRANGE(""https://docs.google.com/spreadsheets/d/1IYY_tgx_IHuhSq3AJ5eI5OnqOPBNLWSHKh2a30DoXe8/edit?usp=sharing"",""พัทลุง!I362"")"),0)</f>
        <v>0</v>
      </c>
      <c r="J467" s="195">
        <f ca="1">IFERROR(__xludf.DUMMYFUNCTION("IMPORTRANGE(""https://docs.google.com/spreadsheets/d/1IYY_tgx_IHuhSq3AJ5eI5OnqOPBNLWSHKh2a30DoXe8/edit?usp=sharing"",""พัทลุง!J362"")"),25982)</f>
        <v>25982</v>
      </c>
      <c r="K467" s="167">
        <f t="shared" ca="1" si="116"/>
        <v>0</v>
      </c>
      <c r="L467" s="188"/>
      <c r="M467" s="188"/>
      <c r="N467" s="188"/>
      <c r="O467" s="188"/>
      <c r="P467" s="188"/>
    </row>
    <row r="468" spans="1:16" ht="21.75" customHeight="1" x14ac:dyDescent="0.35">
      <c r="A468" s="408"/>
      <c r="B468" s="409"/>
      <c r="C468" s="409"/>
      <c r="D468" s="410"/>
      <c r="E468" s="202"/>
      <c r="F468" s="202"/>
      <c r="G468" s="427"/>
      <c r="H468" s="428" t="s">
        <v>36</v>
      </c>
      <c r="I468" s="209">
        <f ca="1">IFERROR(__xludf.DUMMYFUNCTION("IMPORTRANGE(""https://docs.google.com/spreadsheets/d/1IYY_tgx_IHuhSq3AJ5eI5OnqOPBNLWSHKh2a30DoXe8/edit?usp=sharing"",""พัทลุง!I363"")"),0)</f>
        <v>0</v>
      </c>
      <c r="J468" s="195">
        <f ca="1">IFERROR(__xludf.DUMMYFUNCTION("IMPORTRANGE(""https://docs.google.com/spreadsheets/d/1IYY_tgx_IHuhSq3AJ5eI5OnqOPBNLWSHKh2a30DoXe8/edit?usp=sharing"",""พัทลุง!J363"")"),4969)</f>
        <v>4969</v>
      </c>
      <c r="K468" s="167">
        <f t="shared" ca="1" si="116"/>
        <v>0</v>
      </c>
      <c r="L468" s="188"/>
      <c r="M468" s="188"/>
      <c r="N468" s="188"/>
      <c r="O468" s="188"/>
      <c r="P468" s="188"/>
    </row>
    <row r="469" spans="1:16" ht="21.75" customHeight="1" x14ac:dyDescent="0.35">
      <c r="A469" s="408"/>
      <c r="B469" s="409"/>
      <c r="C469" s="409"/>
      <c r="D469" s="410"/>
      <c r="E469" s="202"/>
      <c r="F469" s="396" t="s">
        <v>169</v>
      </c>
      <c r="G469" s="427"/>
      <c r="H469" s="428" t="s">
        <v>122</v>
      </c>
      <c r="I469" s="209">
        <f ca="1">IFERROR(__xludf.DUMMYFUNCTION("IMPORTRANGE(""https://docs.google.com/spreadsheets/d/1IYY_tgx_IHuhSq3AJ5eI5OnqOPBNLWSHKh2a30DoXe8/edit?usp=sharing"",""พัทลุง!I364"")"),0)</f>
        <v>0</v>
      </c>
      <c r="J469" s="195">
        <f ca="1">IFERROR(__xludf.DUMMYFUNCTION("IMPORTRANGE(""https://docs.google.com/spreadsheets/d/1IYY_tgx_IHuhSq3AJ5eI5OnqOPBNLWSHKh2a30DoXe8/edit?usp=sharing"",""พัทลุง!J364"")"),3524)</f>
        <v>3524</v>
      </c>
      <c r="K469" s="167">
        <f t="shared" ca="1" si="116"/>
        <v>0</v>
      </c>
      <c r="L469" s="188"/>
      <c r="M469" s="188"/>
      <c r="N469" s="188"/>
      <c r="O469" s="188"/>
      <c r="P469" s="188"/>
    </row>
    <row r="470" spans="1:16" ht="21.75" customHeight="1" x14ac:dyDescent="0.35">
      <c r="A470" s="408"/>
      <c r="B470" s="409"/>
      <c r="C470" s="409"/>
      <c r="D470" s="410"/>
      <c r="E470" s="202"/>
      <c r="F470" s="202"/>
      <c r="G470" s="427"/>
      <c r="H470" s="428" t="s">
        <v>36</v>
      </c>
      <c r="I470" s="209">
        <f ca="1">IFERROR(__xludf.DUMMYFUNCTION("IMPORTRANGE(""https://docs.google.com/spreadsheets/d/1IYY_tgx_IHuhSq3AJ5eI5OnqOPBNLWSHKh2a30DoXe8/edit?usp=sharing"",""พัทลุง!I365"")"),0)</f>
        <v>0</v>
      </c>
      <c r="J470" s="195">
        <f ca="1">IFERROR(__xludf.DUMMYFUNCTION("IMPORTRANGE(""https://docs.google.com/spreadsheets/d/1IYY_tgx_IHuhSq3AJ5eI5OnqOPBNLWSHKh2a30DoXe8/edit?usp=sharing"",""พัทลุง!J365"")"),521)</f>
        <v>521</v>
      </c>
      <c r="K470" s="167">
        <f t="shared" ca="1" si="116"/>
        <v>0</v>
      </c>
      <c r="L470" s="188"/>
      <c r="M470" s="188"/>
      <c r="N470" s="188"/>
      <c r="O470" s="188"/>
      <c r="P470" s="188"/>
    </row>
    <row r="471" spans="1:16" ht="21.75" customHeight="1" x14ac:dyDescent="0.35">
      <c r="A471" s="408"/>
      <c r="B471" s="409"/>
      <c r="C471" s="409"/>
      <c r="D471" s="410"/>
      <c r="E471" s="202"/>
      <c r="F471" s="396" t="s">
        <v>170</v>
      </c>
      <c r="G471" s="427"/>
      <c r="H471" s="428" t="s">
        <v>122</v>
      </c>
      <c r="I471" s="209">
        <f ca="1">IFERROR(__xludf.DUMMYFUNCTION("IMPORTRANGE(""https://docs.google.com/spreadsheets/d/1IYY_tgx_IHuhSq3AJ5eI5OnqOPBNLWSHKh2a30DoXe8/edit?usp=sharing"",""พัทลุง!I366"")"),0)</f>
        <v>0</v>
      </c>
      <c r="J471" s="195">
        <f ca="1">IFERROR(__xludf.DUMMYFUNCTION("IMPORTRANGE(""https://docs.google.com/spreadsheets/d/1IYY_tgx_IHuhSq3AJ5eI5OnqOPBNLWSHKh2a30DoXe8/edit?usp=sharing"",""พัทลุง!J366"")"),270)</f>
        <v>270</v>
      </c>
      <c r="K471" s="167">
        <f t="shared" ca="1" si="116"/>
        <v>0</v>
      </c>
      <c r="L471" s="188"/>
      <c r="M471" s="188"/>
      <c r="N471" s="188"/>
      <c r="O471" s="188"/>
      <c r="P471" s="188"/>
    </row>
    <row r="472" spans="1:16" ht="21.75" customHeight="1" x14ac:dyDescent="0.35">
      <c r="A472" s="408"/>
      <c r="B472" s="409"/>
      <c r="C472" s="409"/>
      <c r="D472" s="410"/>
      <c r="E472" s="202"/>
      <c r="F472" s="202"/>
      <c r="G472" s="202"/>
      <c r="H472" s="428" t="s">
        <v>36</v>
      </c>
      <c r="I472" s="209">
        <f ca="1">IFERROR(__xludf.DUMMYFUNCTION("IMPORTRANGE(""https://docs.google.com/spreadsheets/d/1IYY_tgx_IHuhSq3AJ5eI5OnqOPBNLWSHKh2a30DoXe8/edit?usp=sharing"",""พัทลุง!I367"")"),0)</f>
        <v>0</v>
      </c>
      <c r="J472" s="195">
        <f ca="1">IFERROR(__xludf.DUMMYFUNCTION("IMPORTRANGE(""https://docs.google.com/spreadsheets/d/1IYY_tgx_IHuhSq3AJ5eI5OnqOPBNLWSHKh2a30DoXe8/edit?usp=sharing"",""พัทลุง!J367"")"),50)</f>
        <v>50</v>
      </c>
      <c r="K472" s="167">
        <f t="shared" ca="1" si="116"/>
        <v>0</v>
      </c>
      <c r="L472" s="188"/>
      <c r="M472" s="188"/>
      <c r="N472" s="188"/>
      <c r="O472" s="188"/>
      <c r="P472" s="188"/>
    </row>
    <row r="473" spans="1:16" ht="21.75" customHeight="1" x14ac:dyDescent="0.35">
      <c r="A473" s="408"/>
      <c r="B473" s="409"/>
      <c r="C473" s="409"/>
      <c r="D473" s="410"/>
      <c r="E473" s="297" t="s">
        <v>171</v>
      </c>
      <c r="F473" s="202"/>
      <c r="G473" s="203"/>
      <c r="H473" s="424" t="s">
        <v>122</v>
      </c>
      <c r="I473" s="426">
        <f ca="1">IFERROR(__xludf.DUMMYFUNCTION("IMPORTRANGE(""https://docs.google.com/spreadsheets/d/1IYY_tgx_IHuhSq3AJ5eI5OnqOPBNLWSHKh2a30DoXe8/edit?usp=sharing"",""พัทลุง!I368"")"),29774)</f>
        <v>29774</v>
      </c>
      <c r="J473" s="426">
        <f ca="1">IFERROR(__xludf.DUMMYFUNCTION("IMPORTRANGE(""https://docs.google.com/spreadsheets/d/1IYY_tgx_IHuhSq3AJ5eI5OnqOPBNLWSHKh2a30DoXe8/edit?usp=sharing"",""พัทลุง!J368"")"),29775)</f>
        <v>29775</v>
      </c>
      <c r="K473" s="208">
        <f t="shared" ca="1" si="116"/>
        <v>100.00335863505072</v>
      </c>
      <c r="L473" s="188"/>
      <c r="M473" s="188"/>
      <c r="N473" s="188"/>
      <c r="O473" s="188"/>
      <c r="P473" s="188"/>
    </row>
    <row r="474" spans="1:16" ht="21.75" customHeight="1" x14ac:dyDescent="0.35">
      <c r="A474" s="408"/>
      <c r="B474" s="409"/>
      <c r="C474" s="409"/>
      <c r="D474" s="410"/>
      <c r="E474" s="202"/>
      <c r="F474" s="202"/>
      <c r="G474" s="203"/>
      <c r="H474" s="424" t="s">
        <v>36</v>
      </c>
      <c r="I474" s="425">
        <f ca="1">IFERROR(__xludf.DUMMYFUNCTION("IMPORTRANGE(""https://docs.google.com/spreadsheets/d/1IYY_tgx_IHuhSq3AJ5eI5OnqOPBNLWSHKh2a30DoXe8/edit?usp=sharing"",""พัทลุง!I369"")"),5540)</f>
        <v>5540</v>
      </c>
      <c r="J474" s="426">
        <f ca="1">IFERROR(__xludf.DUMMYFUNCTION("IMPORTRANGE(""https://docs.google.com/spreadsheets/d/1IYY_tgx_IHuhSq3AJ5eI5OnqOPBNLWSHKh2a30DoXe8/edit?usp=sharing"",""พัทลุง!J369"")"),5540)</f>
        <v>5540</v>
      </c>
      <c r="K474" s="208">
        <f t="shared" ca="1" si="116"/>
        <v>100</v>
      </c>
      <c r="L474" s="188"/>
      <c r="M474" s="188"/>
      <c r="N474" s="188"/>
      <c r="O474" s="188"/>
      <c r="P474" s="188"/>
    </row>
    <row r="475" spans="1:16" ht="21.75" customHeight="1" x14ac:dyDescent="0.35">
      <c r="A475" s="408"/>
      <c r="B475" s="409"/>
      <c r="C475" s="409"/>
      <c r="D475" s="410"/>
      <c r="E475" s="202"/>
      <c r="F475" s="201" t="s">
        <v>172</v>
      </c>
      <c r="G475" s="427"/>
      <c r="H475" s="428" t="s">
        <v>122</v>
      </c>
      <c r="I475" s="209">
        <f ca="1">IFERROR(__xludf.DUMMYFUNCTION("IMPORTRANGE(""https://docs.google.com/spreadsheets/d/1IYY_tgx_IHuhSq3AJ5eI5OnqOPBNLWSHKh2a30DoXe8/edit?usp=sharing"",""พัทลุง!I370"")"),0)</f>
        <v>0</v>
      </c>
      <c r="J475" s="195">
        <f ca="1">IFERROR(__xludf.DUMMYFUNCTION("IMPORTRANGE(""https://docs.google.com/spreadsheets/d/1IYY_tgx_IHuhSq3AJ5eI5OnqOPBNLWSHKh2a30DoXe8/edit?usp=sharing"",""พัทลุง!J370"")"),28752)</f>
        <v>28752</v>
      </c>
      <c r="K475" s="167">
        <f t="shared" ca="1" si="116"/>
        <v>0</v>
      </c>
      <c r="L475" s="188"/>
      <c r="M475" s="188"/>
      <c r="N475" s="188"/>
      <c r="O475" s="188"/>
      <c r="P475" s="188"/>
    </row>
    <row r="476" spans="1:16" ht="21.75" customHeight="1" x14ac:dyDescent="0.35">
      <c r="A476" s="408"/>
      <c r="B476" s="409"/>
      <c r="C476" s="409"/>
      <c r="D476" s="410"/>
      <c r="E476" s="202"/>
      <c r="F476" s="202"/>
      <c r="G476" s="427"/>
      <c r="H476" s="428" t="s">
        <v>36</v>
      </c>
      <c r="I476" s="209">
        <f ca="1">IFERROR(__xludf.DUMMYFUNCTION("IMPORTRANGE(""https://docs.google.com/spreadsheets/d/1IYY_tgx_IHuhSq3AJ5eI5OnqOPBNLWSHKh2a30DoXe8/edit?usp=sharing"",""พัทลุง!I371"")"),0)</f>
        <v>0</v>
      </c>
      <c r="J476" s="195">
        <f ca="1">IFERROR(__xludf.DUMMYFUNCTION("IMPORTRANGE(""https://docs.google.com/spreadsheets/d/1IYY_tgx_IHuhSq3AJ5eI5OnqOPBNLWSHKh2a30DoXe8/edit?usp=sharing"",""พัทลุง!J371"")"),5349)</f>
        <v>5349</v>
      </c>
      <c r="K476" s="167">
        <f t="shared" ca="1" si="116"/>
        <v>0</v>
      </c>
      <c r="L476" s="188"/>
      <c r="M476" s="188"/>
      <c r="N476" s="188"/>
      <c r="O476" s="188"/>
      <c r="P476" s="188"/>
    </row>
    <row r="477" spans="1:16" ht="21.75" customHeight="1" x14ac:dyDescent="0.35">
      <c r="A477" s="408"/>
      <c r="B477" s="409"/>
      <c r="C477" s="409"/>
      <c r="D477" s="410"/>
      <c r="E477" s="202"/>
      <c r="F477" s="201" t="s">
        <v>173</v>
      </c>
      <c r="G477" s="427"/>
      <c r="H477" s="428" t="s">
        <v>122</v>
      </c>
      <c r="I477" s="209">
        <f ca="1">IFERROR(__xludf.DUMMYFUNCTION("IMPORTRANGE(""https://docs.google.com/spreadsheets/d/1IYY_tgx_IHuhSq3AJ5eI5OnqOPBNLWSHKh2a30DoXe8/edit?usp=sharing"",""พัทลุง!I372"")"),0)</f>
        <v>0</v>
      </c>
      <c r="J477" s="195">
        <f ca="1">IFERROR(__xludf.DUMMYFUNCTION("IMPORTRANGE(""https://docs.google.com/spreadsheets/d/1IYY_tgx_IHuhSq3AJ5eI5OnqOPBNLWSHKh2a30DoXe8/edit?usp=sharing"",""พัทลุง!J372"")"),589)</f>
        <v>589</v>
      </c>
      <c r="K477" s="167">
        <f t="shared" ca="1" si="116"/>
        <v>0</v>
      </c>
      <c r="L477" s="188"/>
      <c r="M477" s="188"/>
      <c r="N477" s="188"/>
      <c r="O477" s="188"/>
      <c r="P477" s="188"/>
    </row>
    <row r="478" spans="1:16" ht="21.75" customHeight="1" x14ac:dyDescent="0.35">
      <c r="A478" s="408"/>
      <c r="B478" s="409"/>
      <c r="C478" s="409"/>
      <c r="D478" s="410"/>
      <c r="E478" s="202"/>
      <c r="F478" s="202"/>
      <c r="G478" s="427"/>
      <c r="H478" s="428" t="s">
        <v>36</v>
      </c>
      <c r="I478" s="209">
        <f ca="1">IFERROR(__xludf.DUMMYFUNCTION("IMPORTRANGE(""https://docs.google.com/spreadsheets/d/1IYY_tgx_IHuhSq3AJ5eI5OnqOPBNLWSHKh2a30DoXe8/edit?usp=sharing"",""พัทลุง!I373"")"),0)</f>
        <v>0</v>
      </c>
      <c r="J478" s="195">
        <f ca="1">IFERROR(__xludf.DUMMYFUNCTION("IMPORTRANGE(""https://docs.google.com/spreadsheets/d/1IYY_tgx_IHuhSq3AJ5eI5OnqOPBNLWSHKh2a30DoXe8/edit?usp=sharing"",""พัทลุง!J373"")"),123)</f>
        <v>123</v>
      </c>
      <c r="K478" s="167">
        <f t="shared" ca="1" si="116"/>
        <v>0</v>
      </c>
      <c r="L478" s="188"/>
      <c r="M478" s="188"/>
      <c r="N478" s="188"/>
      <c r="O478" s="188"/>
      <c r="P478" s="188"/>
    </row>
    <row r="479" spans="1:16" ht="21.75" customHeight="1" x14ac:dyDescent="0.35">
      <c r="A479" s="408"/>
      <c r="B479" s="409"/>
      <c r="C479" s="409"/>
      <c r="D479" s="410"/>
      <c r="E479" s="202"/>
      <c r="F479" s="201" t="s">
        <v>174</v>
      </c>
      <c r="G479" s="427"/>
      <c r="H479" s="428" t="s">
        <v>122</v>
      </c>
      <c r="I479" s="209">
        <f ca="1">IFERROR(__xludf.DUMMYFUNCTION("IMPORTRANGE(""https://docs.google.com/spreadsheets/d/1IYY_tgx_IHuhSq3AJ5eI5OnqOPBNLWSHKh2a30DoXe8/edit?usp=sharing"",""พัทลุง!I374"")"),0)</f>
        <v>0</v>
      </c>
      <c r="J479" s="195">
        <f ca="1">IFERROR(__xludf.DUMMYFUNCTION("IMPORTRANGE(""https://docs.google.com/spreadsheets/d/1IYY_tgx_IHuhSq3AJ5eI5OnqOPBNLWSHKh2a30DoXe8/edit?usp=sharing"",""พัทลุง!J374"")"),434)</f>
        <v>434</v>
      </c>
      <c r="K479" s="167">
        <f t="shared" ca="1" si="116"/>
        <v>0</v>
      </c>
      <c r="L479" s="188"/>
      <c r="M479" s="188"/>
      <c r="N479" s="188"/>
      <c r="O479" s="188"/>
      <c r="P479" s="188"/>
    </row>
    <row r="480" spans="1:16" ht="21.75" customHeight="1" x14ac:dyDescent="0.35">
      <c r="A480" s="408"/>
      <c r="B480" s="409"/>
      <c r="C480" s="409"/>
      <c r="D480" s="410"/>
      <c r="E480" s="202"/>
      <c r="F480" s="202"/>
      <c r="G480" s="203"/>
      <c r="H480" s="428" t="s">
        <v>36</v>
      </c>
      <c r="I480" s="209">
        <f ca="1">IFERROR(__xludf.DUMMYFUNCTION("IMPORTRANGE(""https://docs.google.com/spreadsheets/d/1IYY_tgx_IHuhSq3AJ5eI5OnqOPBNLWSHKh2a30DoXe8/edit?usp=sharing"",""พัทลุง!I375"")"),0)</f>
        <v>0</v>
      </c>
      <c r="J480" s="195">
        <f ca="1">IFERROR(__xludf.DUMMYFUNCTION("IMPORTRANGE(""https://docs.google.com/spreadsheets/d/1IYY_tgx_IHuhSq3AJ5eI5OnqOPBNLWSHKh2a30DoXe8/edit?usp=sharing"",""พัทลุง!J375"")"),68)</f>
        <v>68</v>
      </c>
      <c r="K480" s="167">
        <f t="shared" ca="1" si="116"/>
        <v>0</v>
      </c>
      <c r="L480" s="188"/>
      <c r="M480" s="188"/>
      <c r="N480" s="188"/>
      <c r="O480" s="188"/>
      <c r="P480" s="188"/>
    </row>
    <row r="481" spans="1:16" ht="21.75" customHeight="1" x14ac:dyDescent="0.35">
      <c r="A481" s="429"/>
      <c r="B481" s="430"/>
      <c r="C481" s="430"/>
      <c r="D481" s="431"/>
      <c r="E481" s="432" t="s">
        <v>175</v>
      </c>
      <c r="F481" s="433"/>
      <c r="G481" s="434"/>
      <c r="H481" s="435" t="s">
        <v>122</v>
      </c>
      <c r="I481" s="426">
        <f ca="1">IFERROR(__xludf.DUMMYFUNCTION("IMPORTRANGE(""https://docs.google.com/spreadsheets/d/1IYY_tgx_IHuhSq3AJ5eI5OnqOPBNLWSHKh2a30DoXe8/edit?usp=sharing"",""พัทลุง!I376"")"),29774)</f>
        <v>29774</v>
      </c>
      <c r="J481" s="426">
        <f ca="1">IFERROR(__xludf.DUMMYFUNCTION("IMPORTRANGE(""https://docs.google.com/spreadsheets/d/1IYY_tgx_IHuhSq3AJ5eI5OnqOPBNLWSHKh2a30DoXe8/edit?usp=sharing"",""พัทลุง!J376"")"),29775)</f>
        <v>29775</v>
      </c>
      <c r="K481" s="208">
        <f t="shared" ca="1" si="116"/>
        <v>100.00335863505072</v>
      </c>
      <c r="L481" s="436"/>
      <c r="M481" s="436"/>
      <c r="N481" s="436"/>
      <c r="O481" s="436"/>
      <c r="P481" s="436"/>
    </row>
    <row r="482" spans="1:16" ht="21.75" customHeight="1" x14ac:dyDescent="0.35">
      <c r="A482" s="408"/>
      <c r="B482" s="409"/>
      <c r="C482" s="409"/>
      <c r="D482" s="410"/>
      <c r="E482" s="202"/>
      <c r="F482" s="202"/>
      <c r="G482" s="203"/>
      <c r="H482" s="424" t="s">
        <v>36</v>
      </c>
      <c r="I482" s="425">
        <f ca="1">IFERROR(__xludf.DUMMYFUNCTION("IMPORTRANGE(""https://docs.google.com/spreadsheets/d/1IYY_tgx_IHuhSq3AJ5eI5OnqOPBNLWSHKh2a30DoXe8/edit?usp=sharing"",""พัทลุง!I377"")"),5540)</f>
        <v>5540</v>
      </c>
      <c r="J482" s="426">
        <f ca="1">IFERROR(__xludf.DUMMYFUNCTION("IMPORTRANGE(""https://docs.google.com/spreadsheets/d/1IYY_tgx_IHuhSq3AJ5eI5OnqOPBNLWSHKh2a30DoXe8/edit?usp=sharing"",""พัทลุง!J377"")"),5540)</f>
        <v>5540</v>
      </c>
      <c r="K482" s="208">
        <f t="shared" ca="1" si="116"/>
        <v>100</v>
      </c>
      <c r="L482" s="188"/>
      <c r="M482" s="188"/>
      <c r="N482" s="188"/>
      <c r="O482" s="188"/>
      <c r="P482" s="188"/>
    </row>
    <row r="483" spans="1:16" ht="21.75" customHeight="1" x14ac:dyDescent="0.35">
      <c r="A483" s="408"/>
      <c r="B483" s="409"/>
      <c r="C483" s="409"/>
      <c r="D483" s="410"/>
      <c r="E483" s="202"/>
      <c r="F483" s="201" t="s">
        <v>176</v>
      </c>
      <c r="G483" s="427"/>
      <c r="H483" s="428" t="s">
        <v>122</v>
      </c>
      <c r="I483" s="209">
        <f ca="1">IFERROR(__xludf.DUMMYFUNCTION("IMPORTRANGE(""https://docs.google.com/spreadsheets/d/1IYY_tgx_IHuhSq3AJ5eI5OnqOPBNLWSHKh2a30DoXe8/edit?usp=sharing"",""พัทลุง!I378"")"),0)</f>
        <v>0</v>
      </c>
      <c r="J483" s="195">
        <f ca="1">IFERROR(__xludf.DUMMYFUNCTION("IMPORTRANGE(""https://docs.google.com/spreadsheets/d/1IYY_tgx_IHuhSq3AJ5eI5OnqOPBNLWSHKh2a30DoXe8/edit?usp=sharing"",""พัทลุง!J378"")"),26399)</f>
        <v>26399</v>
      </c>
      <c r="K483" s="167">
        <f t="shared" ca="1" si="116"/>
        <v>0</v>
      </c>
      <c r="L483" s="188"/>
      <c r="M483" s="188"/>
      <c r="N483" s="188"/>
      <c r="O483" s="188"/>
      <c r="P483" s="188"/>
    </row>
    <row r="484" spans="1:16" ht="21.75" customHeight="1" x14ac:dyDescent="0.35">
      <c r="A484" s="408"/>
      <c r="B484" s="409"/>
      <c r="C484" s="409"/>
      <c r="D484" s="410"/>
      <c r="E484" s="202"/>
      <c r="F484" s="202"/>
      <c r="G484" s="427"/>
      <c r="H484" s="428" t="s">
        <v>36</v>
      </c>
      <c r="I484" s="209">
        <f ca="1">IFERROR(__xludf.DUMMYFUNCTION("IMPORTRANGE(""https://docs.google.com/spreadsheets/d/1IYY_tgx_IHuhSq3AJ5eI5OnqOPBNLWSHKh2a30DoXe8/edit?usp=sharing"",""พัทลุง!I379"")"),0)</f>
        <v>0</v>
      </c>
      <c r="J484" s="195">
        <f ca="1">IFERROR(__xludf.DUMMYFUNCTION("IMPORTRANGE(""https://docs.google.com/spreadsheets/d/1IYY_tgx_IHuhSq3AJ5eI5OnqOPBNLWSHKh2a30DoXe8/edit?usp=sharing"",""พัทลุง!J379"")"),5068)</f>
        <v>5068</v>
      </c>
      <c r="K484" s="167">
        <f t="shared" ca="1" si="116"/>
        <v>0</v>
      </c>
      <c r="L484" s="188"/>
      <c r="M484" s="188"/>
      <c r="N484" s="188"/>
      <c r="O484" s="188"/>
      <c r="P484" s="188"/>
    </row>
    <row r="485" spans="1:16" ht="21.75" customHeight="1" x14ac:dyDescent="0.35">
      <c r="A485" s="408"/>
      <c r="B485" s="409"/>
      <c r="C485" s="409"/>
      <c r="D485" s="410"/>
      <c r="E485" s="202"/>
      <c r="F485" s="201" t="s">
        <v>177</v>
      </c>
      <c r="G485" s="427"/>
      <c r="H485" s="428" t="s">
        <v>122</v>
      </c>
      <c r="I485" s="209">
        <f ca="1">IFERROR(__xludf.DUMMYFUNCTION("IMPORTRANGE(""https://docs.google.com/spreadsheets/d/1IYY_tgx_IHuhSq3AJ5eI5OnqOPBNLWSHKh2a30DoXe8/edit?usp=sharing"",""พัทลุง!I380"")"),0)</f>
        <v>0</v>
      </c>
      <c r="J485" s="195">
        <f ca="1">IFERROR(__xludf.DUMMYFUNCTION("IMPORTRANGE(""https://docs.google.com/spreadsheets/d/1IYY_tgx_IHuhSq3AJ5eI5OnqOPBNLWSHKh2a30DoXe8/edit?usp=sharing"",""พัทลุง!J380"")"),2942)</f>
        <v>2942</v>
      </c>
      <c r="K485" s="167">
        <f t="shared" ca="1" si="116"/>
        <v>0</v>
      </c>
      <c r="L485" s="188"/>
      <c r="M485" s="188"/>
      <c r="N485" s="188"/>
      <c r="O485" s="188"/>
      <c r="P485" s="188"/>
    </row>
    <row r="486" spans="1:16" ht="21.75" customHeight="1" x14ac:dyDescent="0.35">
      <c r="A486" s="408"/>
      <c r="B486" s="409"/>
      <c r="C486" s="409"/>
      <c r="D486" s="410"/>
      <c r="E486" s="202"/>
      <c r="F486" s="202"/>
      <c r="G486" s="427"/>
      <c r="H486" s="428" t="s">
        <v>36</v>
      </c>
      <c r="I486" s="209">
        <f ca="1">IFERROR(__xludf.DUMMYFUNCTION("IMPORTRANGE(""https://docs.google.com/spreadsheets/d/1IYY_tgx_IHuhSq3AJ5eI5OnqOPBNLWSHKh2a30DoXe8/edit?usp=sharing"",""พัทลุง!I381"")"),0)</f>
        <v>0</v>
      </c>
      <c r="J486" s="195">
        <f ca="1">IFERROR(__xludf.DUMMYFUNCTION("IMPORTRANGE(""https://docs.google.com/spreadsheets/d/1IYY_tgx_IHuhSq3AJ5eI5OnqOPBNLWSHKh2a30DoXe8/edit?usp=sharing"",""พัทลุง!J381"")"),404)</f>
        <v>404</v>
      </c>
      <c r="K486" s="167">
        <f t="shared" ca="1" si="116"/>
        <v>0</v>
      </c>
      <c r="L486" s="188"/>
      <c r="M486" s="188"/>
      <c r="N486" s="188"/>
      <c r="O486" s="188"/>
      <c r="P486" s="188"/>
    </row>
    <row r="487" spans="1:16" ht="21.75" customHeight="1" x14ac:dyDescent="0.35">
      <c r="A487" s="408"/>
      <c r="B487" s="409"/>
      <c r="C487" s="409"/>
      <c r="D487" s="410"/>
      <c r="E487" s="202"/>
      <c r="F487" s="201" t="s">
        <v>178</v>
      </c>
      <c r="G487" s="427"/>
      <c r="H487" s="428" t="s">
        <v>122</v>
      </c>
      <c r="I487" s="209">
        <f ca="1">IFERROR(__xludf.DUMMYFUNCTION("IMPORTRANGE(""https://docs.google.com/spreadsheets/d/1IYY_tgx_IHuhSq3AJ5eI5OnqOPBNLWSHKh2a30DoXe8/edit?usp=sharing"",""พัทลุง!I382"")"),0)</f>
        <v>0</v>
      </c>
      <c r="J487" s="426">
        <f ca="1">IFERROR(__xludf.DUMMYFUNCTION("IMPORTRANGE(""https://docs.google.com/spreadsheets/d/1IYY_tgx_IHuhSq3AJ5eI5OnqOPBNLWSHKh2a30DoXe8/edit?usp=sharing"",""พัทลุง!J382"")"),434)</f>
        <v>434</v>
      </c>
      <c r="K487" s="167">
        <f t="shared" ca="1" si="116"/>
        <v>0</v>
      </c>
      <c r="L487" s="188"/>
      <c r="M487" s="188"/>
      <c r="N487" s="188"/>
      <c r="O487" s="188"/>
      <c r="P487" s="188"/>
    </row>
    <row r="488" spans="1:16" ht="21.75" customHeight="1" x14ac:dyDescent="0.35">
      <c r="A488" s="408"/>
      <c r="B488" s="409"/>
      <c r="C488" s="409"/>
      <c r="D488" s="410"/>
      <c r="E488" s="202"/>
      <c r="F488" s="202"/>
      <c r="G488" s="202"/>
      <c r="H488" s="428" t="s">
        <v>36</v>
      </c>
      <c r="I488" s="209">
        <f ca="1">IFERROR(__xludf.DUMMYFUNCTION("IMPORTRANGE(""https://docs.google.com/spreadsheets/d/1IYY_tgx_IHuhSq3AJ5eI5OnqOPBNLWSHKh2a30DoXe8/edit?usp=sharing"",""พัทลุง!I383"")"),0)</f>
        <v>0</v>
      </c>
      <c r="J488" s="426">
        <f ca="1">IFERROR(__xludf.DUMMYFUNCTION("IMPORTRANGE(""https://docs.google.com/spreadsheets/d/1IYY_tgx_IHuhSq3AJ5eI5OnqOPBNLWSHKh2a30DoXe8/edit?usp=sharing"",""พัทลุง!J383"")"),68)</f>
        <v>68</v>
      </c>
      <c r="K488" s="167">
        <f t="shared" ca="1" si="116"/>
        <v>0</v>
      </c>
      <c r="L488" s="188"/>
      <c r="M488" s="188"/>
      <c r="N488" s="188"/>
      <c r="O488" s="188"/>
      <c r="P488" s="188"/>
    </row>
    <row r="489" spans="1:16" ht="21.75" customHeight="1" x14ac:dyDescent="0.35">
      <c r="A489" s="408"/>
      <c r="B489" s="409"/>
      <c r="C489" s="409"/>
      <c r="D489" s="410"/>
      <c r="E489" s="202"/>
      <c r="F489" s="202"/>
      <c r="G489" s="201" t="s">
        <v>179</v>
      </c>
      <c r="H489" s="428" t="s">
        <v>122</v>
      </c>
      <c r="I489" s="209">
        <f ca="1">IFERROR(__xludf.DUMMYFUNCTION("IMPORTRANGE(""https://docs.google.com/spreadsheets/d/1IYY_tgx_IHuhSq3AJ5eI5OnqOPBNLWSHKh2a30DoXe8/edit?usp=sharing"",""พัทลุง!I384"")"),0)</f>
        <v>0</v>
      </c>
      <c r="J489" s="195">
        <f ca="1">IFERROR(__xludf.DUMMYFUNCTION("IMPORTRANGE(""https://docs.google.com/spreadsheets/d/1IYY_tgx_IHuhSq3AJ5eI5OnqOPBNLWSHKh2a30DoXe8/edit?usp=sharing"",""พัทลุง!J384"")"),434)</f>
        <v>434</v>
      </c>
      <c r="K489" s="167">
        <f t="shared" ca="1" si="116"/>
        <v>0</v>
      </c>
      <c r="L489" s="188"/>
      <c r="M489" s="188"/>
      <c r="N489" s="188"/>
      <c r="O489" s="188"/>
      <c r="P489" s="188"/>
    </row>
    <row r="490" spans="1:16" ht="21.75" customHeight="1" x14ac:dyDescent="0.35">
      <c r="A490" s="408"/>
      <c r="B490" s="409"/>
      <c r="C490" s="409"/>
      <c r="D490" s="410"/>
      <c r="E490" s="202"/>
      <c r="F490" s="202"/>
      <c r="G490" s="202"/>
      <c r="H490" s="428" t="s">
        <v>36</v>
      </c>
      <c r="I490" s="209">
        <f ca="1">IFERROR(__xludf.DUMMYFUNCTION("IMPORTRANGE(""https://docs.google.com/spreadsheets/d/1IYY_tgx_IHuhSq3AJ5eI5OnqOPBNLWSHKh2a30DoXe8/edit?usp=sharing"",""พัทลุง!I385"")"),0)</f>
        <v>0</v>
      </c>
      <c r="J490" s="195">
        <f ca="1">IFERROR(__xludf.DUMMYFUNCTION("IMPORTRANGE(""https://docs.google.com/spreadsheets/d/1IYY_tgx_IHuhSq3AJ5eI5OnqOPBNLWSHKh2a30DoXe8/edit?usp=sharing"",""พัทลุง!J385"")"),68)</f>
        <v>68</v>
      </c>
      <c r="K490" s="167">
        <f t="shared" ca="1" si="116"/>
        <v>0</v>
      </c>
      <c r="L490" s="188"/>
      <c r="M490" s="188"/>
      <c r="N490" s="188"/>
      <c r="O490" s="188"/>
      <c r="P490" s="188"/>
    </row>
    <row r="491" spans="1:16" ht="21.75" customHeight="1" x14ac:dyDescent="0.35">
      <c r="A491" s="408"/>
      <c r="B491" s="409"/>
      <c r="C491" s="409"/>
      <c r="D491" s="410"/>
      <c r="E491" s="202"/>
      <c r="F491" s="202"/>
      <c r="G491" s="201" t="s">
        <v>180</v>
      </c>
      <c r="H491" s="428" t="s">
        <v>122</v>
      </c>
      <c r="I491" s="209">
        <f ca="1">IFERROR(__xludf.DUMMYFUNCTION("IMPORTRANGE(""https://docs.google.com/spreadsheets/d/1IYY_tgx_IHuhSq3AJ5eI5OnqOPBNLWSHKh2a30DoXe8/edit?usp=sharing"",""พัทลุง!I386"")"),0)</f>
        <v>0</v>
      </c>
      <c r="J491" s="195">
        <f ca="1">IFERROR(__xludf.DUMMYFUNCTION("IMPORTRANGE(""https://docs.google.com/spreadsheets/d/1IYY_tgx_IHuhSq3AJ5eI5OnqOPBNLWSHKh2a30DoXe8/edit?usp=sharing"",""พัทลุง!J386"")"),0)</f>
        <v>0</v>
      </c>
      <c r="K491" s="167">
        <f t="shared" ca="1" si="116"/>
        <v>0</v>
      </c>
      <c r="L491" s="188"/>
      <c r="M491" s="188"/>
      <c r="N491" s="188"/>
      <c r="O491" s="188"/>
      <c r="P491" s="188"/>
    </row>
    <row r="492" spans="1:16" ht="21.75" customHeight="1" x14ac:dyDescent="0.35">
      <c r="A492" s="408"/>
      <c r="B492" s="409"/>
      <c r="C492" s="409"/>
      <c r="D492" s="410"/>
      <c r="E492" s="202"/>
      <c r="F492" s="202"/>
      <c r="G492" s="203"/>
      <c r="H492" s="428" t="s">
        <v>36</v>
      </c>
      <c r="I492" s="209">
        <f ca="1">IFERROR(__xludf.DUMMYFUNCTION("IMPORTRANGE(""https://docs.google.com/spreadsheets/d/1IYY_tgx_IHuhSq3AJ5eI5OnqOPBNLWSHKh2a30DoXe8/edit?usp=sharing"",""พัทลุง!I387"")"),0)</f>
        <v>0</v>
      </c>
      <c r="J492" s="195">
        <f ca="1">IFERROR(__xludf.DUMMYFUNCTION("IMPORTRANGE(""https://docs.google.com/spreadsheets/d/1IYY_tgx_IHuhSq3AJ5eI5OnqOPBNLWSHKh2a30DoXe8/edit?usp=sharing"",""พัทลุง!J387"")"),0)</f>
        <v>0</v>
      </c>
      <c r="K492" s="167">
        <f t="shared" ca="1" si="116"/>
        <v>0</v>
      </c>
      <c r="L492" s="188"/>
      <c r="M492" s="188"/>
      <c r="N492" s="188"/>
      <c r="O492" s="188"/>
      <c r="P492" s="188"/>
    </row>
    <row r="493" spans="1:16" ht="21.75" customHeight="1" x14ac:dyDescent="0.35">
      <c r="A493" s="408"/>
      <c r="B493" s="409"/>
      <c r="C493" s="409"/>
      <c r="D493" s="410"/>
      <c r="E493" s="202"/>
      <c r="F493" s="201" t="s">
        <v>181</v>
      </c>
      <c r="G493" s="427"/>
      <c r="H493" s="428" t="s">
        <v>122</v>
      </c>
      <c r="I493" s="209">
        <f ca="1">IFERROR(__xludf.DUMMYFUNCTION("IMPORTRANGE(""https://docs.google.com/spreadsheets/d/1IYY_tgx_IHuhSq3AJ5eI5OnqOPBNLWSHKh2a30DoXe8/edit?usp=sharing"",""พัทลุง!I388"")"),0)</f>
        <v>0</v>
      </c>
      <c r="J493" s="195">
        <f ca="1">IFERROR(__xludf.DUMMYFUNCTION("IMPORTRANGE(""https://docs.google.com/spreadsheets/d/1IYY_tgx_IHuhSq3AJ5eI5OnqOPBNLWSHKh2a30DoXe8/edit?usp=sharing"",""พัทลุง!J388"")"),0)</f>
        <v>0</v>
      </c>
      <c r="K493" s="167">
        <f t="shared" ca="1" si="116"/>
        <v>0</v>
      </c>
      <c r="L493" s="188"/>
      <c r="M493" s="188"/>
      <c r="N493" s="188"/>
      <c r="O493" s="188"/>
      <c r="P493" s="188"/>
    </row>
    <row r="494" spans="1:16" ht="21.75" customHeight="1" x14ac:dyDescent="0.35">
      <c r="A494" s="437"/>
      <c r="B494" s="438"/>
      <c r="C494" s="438"/>
      <c r="D494" s="439"/>
      <c r="E494" s="353"/>
      <c r="F494" s="353"/>
      <c r="G494" s="353"/>
      <c r="H494" s="440" t="s">
        <v>36</v>
      </c>
      <c r="I494" s="441">
        <f ca="1">IFERROR(__xludf.DUMMYFUNCTION("IMPORTRANGE(""https://docs.google.com/spreadsheets/d/1IYY_tgx_IHuhSq3AJ5eI5OnqOPBNLWSHKh2a30DoXe8/edit?usp=sharing"",""พัทลุง!I389"")"),0)</f>
        <v>0</v>
      </c>
      <c r="J494" s="442">
        <f ca="1">IFERROR(__xludf.DUMMYFUNCTION("IMPORTRANGE(""https://docs.google.com/spreadsheets/d/1IYY_tgx_IHuhSq3AJ5eI5OnqOPBNLWSHKh2a30DoXe8/edit?usp=sharing"",""พัทลุง!J389"")"),0)</f>
        <v>0</v>
      </c>
      <c r="K494" s="294">
        <f t="shared" ca="1" si="116"/>
        <v>0</v>
      </c>
      <c r="L494" s="251"/>
      <c r="M494" s="251"/>
      <c r="N494" s="251"/>
      <c r="O494" s="251"/>
      <c r="P494" s="251"/>
    </row>
    <row r="495" spans="1:16" ht="21.75" customHeight="1" x14ac:dyDescent="0.35">
      <c r="A495" s="408"/>
      <c r="B495" s="409"/>
      <c r="C495" s="409"/>
      <c r="D495" s="410"/>
      <c r="E495" s="202"/>
      <c r="F495" s="202">
        <v>3.5</v>
      </c>
      <c r="G495" s="427" t="s">
        <v>182</v>
      </c>
      <c r="H495" s="428" t="s">
        <v>122</v>
      </c>
      <c r="I495" s="441">
        <f ca="1">IFERROR(__xludf.DUMMYFUNCTION("IMPORTRANGE(""https://docs.google.com/spreadsheets/d/1IYY_tgx_IHuhSq3AJ5eI5OnqOPBNLWSHKh2a30DoXe8/edit?usp=sharing"",""พัทลุง!I390"")"),0)</f>
        <v>0</v>
      </c>
      <c r="J495" s="442">
        <f ca="1">IFERROR(__xludf.DUMMYFUNCTION("IMPORTRANGE(""https://docs.google.com/spreadsheets/d/1IYY_tgx_IHuhSq3AJ5eI5OnqOPBNLWSHKh2a30DoXe8/edit?usp=sharing"",""พัทลุง!J390"")"),0)</f>
        <v>0</v>
      </c>
      <c r="K495" s="167">
        <f t="shared" ca="1" si="116"/>
        <v>0</v>
      </c>
      <c r="L495" s="188"/>
      <c r="M495" s="188"/>
      <c r="N495" s="188"/>
      <c r="O495" s="188"/>
      <c r="P495" s="188"/>
    </row>
    <row r="496" spans="1:16" ht="21.75" customHeight="1" x14ac:dyDescent="0.35">
      <c r="A496" s="437"/>
      <c r="B496" s="438"/>
      <c r="C496" s="438"/>
      <c r="D496" s="439"/>
      <c r="E496" s="353"/>
      <c r="F496" s="353"/>
      <c r="G496" s="353"/>
      <c r="H496" s="440" t="s">
        <v>36</v>
      </c>
      <c r="I496" s="441">
        <f ca="1">IFERROR(__xludf.DUMMYFUNCTION("IMPORTRANGE(""https://docs.google.com/spreadsheets/d/1IYY_tgx_IHuhSq3AJ5eI5OnqOPBNLWSHKh2a30DoXe8/edit?usp=sharing"",""พัทลุง!I391"")"),0)</f>
        <v>0</v>
      </c>
      <c r="J496" s="442">
        <f ca="1">IFERROR(__xludf.DUMMYFUNCTION("IMPORTRANGE(""https://docs.google.com/spreadsheets/d/1IYY_tgx_IHuhSq3AJ5eI5OnqOPBNLWSHKh2a30DoXe8/edit?usp=sharing"",""พัทลุง!J391"")"),0)</f>
        <v>0</v>
      </c>
      <c r="K496" s="294">
        <f t="shared" ca="1" si="116"/>
        <v>0</v>
      </c>
      <c r="L496" s="251"/>
      <c r="M496" s="251"/>
      <c r="N496" s="251"/>
      <c r="O496" s="251"/>
      <c r="P496" s="251"/>
    </row>
    <row r="497" spans="1:16" ht="21.75" customHeight="1" x14ac:dyDescent="0.35">
      <c r="A497" s="443"/>
      <c r="B497" s="444"/>
      <c r="C497" s="445" t="s">
        <v>183</v>
      </c>
      <c r="D497" s="445"/>
      <c r="E497" s="446"/>
      <c r="F497" s="446"/>
      <c r="G497" s="447"/>
      <c r="H497" s="448" t="s">
        <v>122</v>
      </c>
      <c r="I497" s="449">
        <f ca="1">IFERROR(__xludf.DUMMYFUNCTION("IMPORTRANGE(""https://docs.google.com/spreadsheets/d/1IYY_tgx_IHuhSq3AJ5eI5OnqOPBNLWSHKh2a30DoXe8/edit?usp=sharing"",""พัทลุง!I392"")"),185)</f>
        <v>185</v>
      </c>
      <c r="J497" s="449">
        <f ca="1">IFERROR(__xludf.DUMMYFUNCTION("IMPORTRANGE(""https://docs.google.com/spreadsheets/d/1IYY_tgx_IHuhSq3AJ5eI5OnqOPBNLWSHKh2a30DoXe8/edit?usp=sharing"",""พัทลุง!J392"")"),0)</f>
        <v>0</v>
      </c>
      <c r="K497" s="450">
        <f t="shared" ca="1" si="116"/>
        <v>0</v>
      </c>
      <c r="L497" s="451"/>
      <c r="M497" s="451"/>
      <c r="N497" s="451"/>
      <c r="O497" s="451"/>
      <c r="P497" s="451"/>
    </row>
    <row r="498" spans="1:16" ht="21.75" customHeight="1" x14ac:dyDescent="0.35">
      <c r="A498" s="182"/>
      <c r="B498" s="183"/>
      <c r="C498" s="183"/>
      <c r="D498" s="410"/>
      <c r="E498" s="452" t="s">
        <v>184</v>
      </c>
      <c r="F498" s="453"/>
      <c r="G498" s="454"/>
      <c r="H498" s="455" t="s">
        <v>122</v>
      </c>
      <c r="I498" s="426">
        <f ca="1">IFERROR(__xludf.DUMMYFUNCTION("IMPORTRANGE(""https://docs.google.com/spreadsheets/d/1IYY_tgx_IHuhSq3AJ5eI5OnqOPBNLWSHKh2a30DoXe8/edit?usp=sharing"",""พัทลุง!I393"")"),185)</f>
        <v>185</v>
      </c>
      <c r="J498" s="426">
        <f ca="1">IFERROR(__xludf.DUMMYFUNCTION("IMPORTRANGE(""https://docs.google.com/spreadsheets/d/1IYY_tgx_IHuhSq3AJ5eI5OnqOPBNLWSHKh2a30DoXe8/edit?usp=sharing"",""พัทลุง!J393"")"),0)</f>
        <v>0</v>
      </c>
      <c r="K498" s="167">
        <f t="shared" ca="1" si="116"/>
        <v>0</v>
      </c>
      <c r="L498" s="188"/>
      <c r="M498" s="188"/>
      <c r="N498" s="188"/>
      <c r="O498" s="188"/>
      <c r="P498" s="188"/>
    </row>
    <row r="499" spans="1:16" ht="21.75" customHeight="1" x14ac:dyDescent="0.35">
      <c r="A499" s="182"/>
      <c r="B499" s="183"/>
      <c r="C499" s="183"/>
      <c r="D499" s="200"/>
      <c r="E499" s="453"/>
      <c r="F499" s="453"/>
      <c r="G499" s="454"/>
      <c r="H499" s="455" t="s">
        <v>36</v>
      </c>
      <c r="I499" s="426">
        <f ca="1">IFERROR(__xludf.DUMMYFUNCTION("IMPORTRANGE(""https://docs.google.com/spreadsheets/d/1IYY_tgx_IHuhSq3AJ5eI5OnqOPBNLWSHKh2a30DoXe8/edit?usp=sharing"",""พัทลุง!I394"")"),48)</f>
        <v>48</v>
      </c>
      <c r="J499" s="426">
        <f ca="1">IFERROR(__xludf.DUMMYFUNCTION("IMPORTRANGE(""https://docs.google.com/spreadsheets/d/1IYY_tgx_IHuhSq3AJ5eI5OnqOPBNLWSHKh2a30DoXe8/edit?usp=sharing"",""พัทลุง!J394"")"),0)</f>
        <v>0</v>
      </c>
      <c r="K499" s="208">
        <f t="shared" ca="1" si="116"/>
        <v>0</v>
      </c>
      <c r="L499" s="188"/>
      <c r="M499" s="188"/>
      <c r="N499" s="188"/>
      <c r="O499" s="188"/>
      <c r="P499" s="188"/>
    </row>
    <row r="500" spans="1:16" ht="21.75" customHeight="1" x14ac:dyDescent="0.35">
      <c r="A500" s="182"/>
      <c r="B500" s="183"/>
      <c r="C500" s="183"/>
      <c r="D500" s="410"/>
      <c r="E500" s="410" t="s">
        <v>185</v>
      </c>
      <c r="F500" s="202"/>
      <c r="G500" s="203"/>
      <c r="H500" s="428" t="s">
        <v>122</v>
      </c>
      <c r="I500" s="209">
        <f ca="1">IFERROR(__xludf.DUMMYFUNCTION("IMPORTRANGE(""https://docs.google.com/spreadsheets/d/1IYY_tgx_IHuhSq3AJ5eI5OnqOPBNLWSHKh2a30DoXe8/edit?usp=sharing"",""พัทลุง!I395"")"),0)</f>
        <v>0</v>
      </c>
      <c r="J500" s="166">
        <f ca="1">IFERROR(__xludf.DUMMYFUNCTION("IMPORTRANGE(""https://docs.google.com/spreadsheets/d/1IYY_tgx_IHuhSq3AJ5eI5OnqOPBNLWSHKh2a30DoXe8/edit?usp=sharing"",""พัทลุง!J395"")"),0)</f>
        <v>0</v>
      </c>
      <c r="K500" s="167">
        <f t="shared" ca="1" si="116"/>
        <v>0</v>
      </c>
      <c r="L500" s="188"/>
      <c r="M500" s="188"/>
      <c r="N500" s="188"/>
      <c r="O500" s="188"/>
      <c r="P500" s="188"/>
    </row>
    <row r="501" spans="1:16" ht="21.75" customHeight="1" x14ac:dyDescent="0.35">
      <c r="A501" s="182"/>
      <c r="B501" s="183"/>
      <c r="C501" s="183"/>
      <c r="D501" s="200"/>
      <c r="E501" s="202"/>
      <c r="F501" s="202"/>
      <c r="G501" s="203"/>
      <c r="H501" s="428" t="s">
        <v>36</v>
      </c>
      <c r="I501" s="209">
        <f ca="1">IFERROR(__xludf.DUMMYFUNCTION("IMPORTRANGE(""https://docs.google.com/spreadsheets/d/1IYY_tgx_IHuhSq3AJ5eI5OnqOPBNLWSHKh2a30DoXe8/edit?usp=sharing"",""พัทลุง!I396"")"),0)</f>
        <v>0</v>
      </c>
      <c r="J501" s="166">
        <f ca="1">IFERROR(__xludf.DUMMYFUNCTION("IMPORTRANGE(""https://docs.google.com/spreadsheets/d/1IYY_tgx_IHuhSq3AJ5eI5OnqOPBNLWSHKh2a30DoXe8/edit?usp=sharing"",""พัทลุง!J396"")"),0)</f>
        <v>0</v>
      </c>
      <c r="K501" s="167">
        <f t="shared" ca="1" si="116"/>
        <v>0</v>
      </c>
      <c r="L501" s="188"/>
      <c r="M501" s="188"/>
      <c r="N501" s="188"/>
      <c r="O501" s="188"/>
      <c r="P501" s="188"/>
    </row>
    <row r="502" spans="1:16" ht="21.75" customHeight="1" x14ac:dyDescent="0.35">
      <c r="A502" s="182"/>
      <c r="B502" s="183"/>
      <c r="C502" s="183"/>
      <c r="D502" s="200"/>
      <c r="E502" s="202"/>
      <c r="F502" s="405" t="s">
        <v>186</v>
      </c>
      <c r="G502" s="427"/>
      <c r="H502" s="428" t="s">
        <v>122</v>
      </c>
      <c r="I502" s="209">
        <f ca="1">IFERROR(__xludf.DUMMYFUNCTION("IMPORTRANGE(""https://docs.google.com/spreadsheets/d/1IYY_tgx_IHuhSq3AJ5eI5OnqOPBNLWSHKh2a30DoXe8/edit?usp=sharing"",""พัทลุง!I397"")"),0)</f>
        <v>0</v>
      </c>
      <c r="J502" s="195">
        <f ca="1">IFERROR(__xludf.DUMMYFUNCTION("IMPORTRANGE(""https://docs.google.com/spreadsheets/d/1IYY_tgx_IHuhSq3AJ5eI5OnqOPBNLWSHKh2a30DoXe8/edit?usp=sharing"",""พัทลุง!J397"")"),0)</f>
        <v>0</v>
      </c>
      <c r="K502" s="167">
        <f t="shared" ca="1" si="116"/>
        <v>0</v>
      </c>
      <c r="L502" s="188"/>
      <c r="M502" s="188"/>
      <c r="N502" s="188"/>
      <c r="O502" s="188"/>
      <c r="P502" s="188"/>
    </row>
    <row r="503" spans="1:16" ht="21.75" customHeight="1" x14ac:dyDescent="0.35">
      <c r="A503" s="182"/>
      <c r="B503" s="183"/>
      <c r="C503" s="183"/>
      <c r="D503" s="200"/>
      <c r="E503" s="202"/>
      <c r="F503" s="202"/>
      <c r="G503" s="427"/>
      <c r="H503" s="428" t="s">
        <v>36</v>
      </c>
      <c r="I503" s="194">
        <f ca="1">IFERROR(__xludf.DUMMYFUNCTION("IMPORTRANGE(""https://docs.google.com/spreadsheets/d/1IYY_tgx_IHuhSq3AJ5eI5OnqOPBNLWSHKh2a30DoXe8/edit?usp=sharing"",""พัทลุง!I398"")"),0)</f>
        <v>0</v>
      </c>
      <c r="J503" s="204">
        <f ca="1">IFERROR(__xludf.DUMMYFUNCTION("IMPORTRANGE(""https://docs.google.com/spreadsheets/d/1IYY_tgx_IHuhSq3AJ5eI5OnqOPBNLWSHKh2a30DoXe8/edit?usp=sharing"",""พัทลุง!J398"")"),0)</f>
        <v>0</v>
      </c>
      <c r="K503" s="167">
        <f t="shared" ca="1" si="116"/>
        <v>0</v>
      </c>
      <c r="L503" s="188"/>
      <c r="M503" s="188"/>
      <c r="N503" s="188"/>
      <c r="O503" s="188"/>
      <c r="P503" s="188"/>
    </row>
    <row r="504" spans="1:16" ht="21.75" customHeight="1" x14ac:dyDescent="0.35">
      <c r="A504" s="182"/>
      <c r="B504" s="183"/>
      <c r="C504" s="183"/>
      <c r="D504" s="200"/>
      <c r="E504" s="202"/>
      <c r="F504" s="396" t="s">
        <v>187</v>
      </c>
      <c r="G504" s="427"/>
      <c r="H504" s="428" t="s">
        <v>122</v>
      </c>
      <c r="I504" s="210">
        <f ca="1">IFERROR(__xludf.DUMMYFUNCTION("IMPORTRANGE(""https://docs.google.com/spreadsheets/d/1IYY_tgx_IHuhSq3AJ5eI5OnqOPBNLWSHKh2a30DoXe8/edit?usp=sharing"",""พัทลุง!I399"")"),0)</f>
        <v>0</v>
      </c>
      <c r="J504" s="195">
        <f ca="1">IFERROR(__xludf.DUMMYFUNCTION("IMPORTRANGE(""https://docs.google.com/spreadsheets/d/1IYY_tgx_IHuhSq3AJ5eI5OnqOPBNLWSHKh2a30DoXe8/edit?usp=sharing"",""พัทลุง!J399"")"),0)</f>
        <v>0</v>
      </c>
      <c r="K504" s="167">
        <f t="shared" ca="1" si="116"/>
        <v>0</v>
      </c>
      <c r="L504" s="188"/>
      <c r="M504" s="188"/>
      <c r="N504" s="188"/>
      <c r="O504" s="188"/>
      <c r="P504" s="188"/>
    </row>
    <row r="505" spans="1:16" ht="21.75" customHeight="1" x14ac:dyDescent="0.35">
      <c r="A505" s="182"/>
      <c r="B505" s="183"/>
      <c r="C505" s="183"/>
      <c r="D505" s="200"/>
      <c r="E505" s="202"/>
      <c r="F505" s="202"/>
      <c r="G505" s="427"/>
      <c r="H505" s="428" t="s">
        <v>36</v>
      </c>
      <c r="I505" s="194">
        <f ca="1">IFERROR(__xludf.DUMMYFUNCTION("IMPORTRANGE(""https://docs.google.com/spreadsheets/d/1IYY_tgx_IHuhSq3AJ5eI5OnqOPBNLWSHKh2a30DoXe8/edit?usp=sharing"",""พัทลุง!I400"")"),0)</f>
        <v>0</v>
      </c>
      <c r="J505" s="204">
        <f ca="1">IFERROR(__xludf.DUMMYFUNCTION("IMPORTRANGE(""https://docs.google.com/spreadsheets/d/1IYY_tgx_IHuhSq3AJ5eI5OnqOPBNLWSHKh2a30DoXe8/edit?usp=sharing"",""พัทลุง!J400"")"),0)</f>
        <v>0</v>
      </c>
      <c r="K505" s="167">
        <f t="shared" ca="1" si="116"/>
        <v>0</v>
      </c>
      <c r="L505" s="188"/>
      <c r="M505" s="188"/>
      <c r="N505" s="188"/>
      <c r="O505" s="188"/>
      <c r="P505" s="188"/>
    </row>
    <row r="506" spans="1:16" ht="21.75" customHeight="1" x14ac:dyDescent="0.35">
      <c r="A506" s="182"/>
      <c r="B506" s="183"/>
      <c r="C506" s="183"/>
      <c r="D506" s="200"/>
      <c r="E506" s="202"/>
      <c r="F506" s="405" t="s">
        <v>188</v>
      </c>
      <c r="G506" s="427"/>
      <c r="H506" s="428" t="s">
        <v>122</v>
      </c>
      <c r="I506" s="210">
        <f ca="1">IFERROR(__xludf.DUMMYFUNCTION("IMPORTRANGE(""https://docs.google.com/spreadsheets/d/1IYY_tgx_IHuhSq3AJ5eI5OnqOPBNLWSHKh2a30DoXe8/edit?usp=sharing"",""พัทลุง!I401"")"),0)</f>
        <v>0</v>
      </c>
      <c r="J506" s="195">
        <f ca="1">IFERROR(__xludf.DUMMYFUNCTION("IMPORTRANGE(""https://docs.google.com/spreadsheets/d/1IYY_tgx_IHuhSq3AJ5eI5OnqOPBNLWSHKh2a30DoXe8/edit?usp=sharing"",""พัทลุง!J401"")"),0)</f>
        <v>0</v>
      </c>
      <c r="K506" s="167">
        <f t="shared" ca="1" si="116"/>
        <v>0</v>
      </c>
      <c r="L506" s="188"/>
      <c r="M506" s="188"/>
      <c r="N506" s="188"/>
      <c r="O506" s="188"/>
      <c r="P506" s="188"/>
    </row>
    <row r="507" spans="1:16" ht="21.75" customHeight="1" x14ac:dyDescent="0.35">
      <c r="A507" s="182"/>
      <c r="B507" s="183"/>
      <c r="C507" s="183"/>
      <c r="D507" s="200"/>
      <c r="E507" s="202"/>
      <c r="F507" s="202"/>
      <c r="G507" s="202"/>
      <c r="H507" s="428" t="s">
        <v>36</v>
      </c>
      <c r="I507" s="194">
        <f ca="1">IFERROR(__xludf.DUMMYFUNCTION("IMPORTRANGE(""https://docs.google.com/spreadsheets/d/1IYY_tgx_IHuhSq3AJ5eI5OnqOPBNLWSHKh2a30DoXe8/edit?usp=sharing"",""พัทลุง!I402"")"),0)</f>
        <v>0</v>
      </c>
      <c r="J507" s="204">
        <f ca="1">IFERROR(__xludf.DUMMYFUNCTION("IMPORTRANGE(""https://docs.google.com/spreadsheets/d/1IYY_tgx_IHuhSq3AJ5eI5OnqOPBNLWSHKh2a30DoXe8/edit?usp=sharing"",""พัทลุง!J402"")"),0)</f>
        <v>0</v>
      </c>
      <c r="K507" s="167">
        <f t="shared" ca="1" si="116"/>
        <v>0</v>
      </c>
      <c r="L507" s="188"/>
      <c r="M507" s="188"/>
      <c r="N507" s="188"/>
      <c r="O507" s="188"/>
      <c r="P507" s="188"/>
    </row>
    <row r="508" spans="1:16" ht="21.75" customHeight="1" x14ac:dyDescent="0.35">
      <c r="A508" s="182"/>
      <c r="B508" s="183"/>
      <c r="C508" s="183"/>
      <c r="D508" s="200"/>
      <c r="E508" s="201" t="s">
        <v>189</v>
      </c>
      <c r="F508" s="202"/>
      <c r="G508" s="427"/>
      <c r="H508" s="428" t="s">
        <v>122</v>
      </c>
      <c r="I508" s="194">
        <f ca="1">IFERROR(__xludf.DUMMYFUNCTION("IMPORTRANGE(""https://docs.google.com/spreadsheets/d/1IYY_tgx_IHuhSq3AJ5eI5OnqOPBNLWSHKh2a30DoXe8/edit?usp=sharing"",""พัทลุง!I403"")"),0)</f>
        <v>0</v>
      </c>
      <c r="J508" s="166">
        <f ca="1">IFERROR(__xludf.DUMMYFUNCTION("IMPORTRANGE(""https://docs.google.com/spreadsheets/d/1IYY_tgx_IHuhSq3AJ5eI5OnqOPBNLWSHKh2a30DoXe8/edit?usp=sharing"",""พัทลุง!J403"")"),0)</f>
        <v>0</v>
      </c>
      <c r="K508" s="167">
        <f t="shared" ca="1" si="116"/>
        <v>0</v>
      </c>
      <c r="L508" s="188"/>
      <c r="M508" s="188"/>
      <c r="N508" s="188"/>
      <c r="O508" s="188"/>
      <c r="P508" s="188"/>
    </row>
    <row r="509" spans="1:16" ht="21.75" customHeight="1" x14ac:dyDescent="0.35">
      <c r="A509" s="182"/>
      <c r="B509" s="183"/>
      <c r="C509" s="183"/>
      <c r="D509" s="200"/>
      <c r="E509" s="202"/>
      <c r="F509" s="202"/>
      <c r="G509" s="202"/>
      <c r="H509" s="428" t="s">
        <v>36</v>
      </c>
      <c r="I509" s="194">
        <f ca="1">IFERROR(__xludf.DUMMYFUNCTION("IMPORTRANGE(""https://docs.google.com/spreadsheets/d/1IYY_tgx_IHuhSq3AJ5eI5OnqOPBNLWSHKh2a30DoXe8/edit?usp=sharing"",""พัทลุง!I404"")"),0)</f>
        <v>0</v>
      </c>
      <c r="J509" s="166">
        <f ca="1">IFERROR(__xludf.DUMMYFUNCTION("IMPORTRANGE(""https://docs.google.com/spreadsheets/d/1IYY_tgx_IHuhSq3AJ5eI5OnqOPBNLWSHKh2a30DoXe8/edit?usp=sharing"",""พัทลุง!J404"")"),0)</f>
        <v>0</v>
      </c>
      <c r="K509" s="167">
        <f t="shared" ca="1" si="116"/>
        <v>0</v>
      </c>
      <c r="L509" s="188"/>
      <c r="M509" s="188"/>
      <c r="N509" s="188"/>
      <c r="O509" s="188"/>
      <c r="P509" s="188"/>
    </row>
    <row r="510" spans="1:16" ht="21.75" customHeight="1" x14ac:dyDescent="0.35">
      <c r="A510" s="182"/>
      <c r="B510" s="183"/>
      <c r="C510" s="183"/>
      <c r="D510" s="200"/>
      <c r="E510" s="202"/>
      <c r="F510" s="201" t="s">
        <v>190</v>
      </c>
      <c r="G510" s="202"/>
      <c r="H510" s="428" t="s">
        <v>122</v>
      </c>
      <c r="I510" s="194">
        <f ca="1">IFERROR(__xludf.DUMMYFUNCTION("IMPORTRANGE(""https://docs.google.com/spreadsheets/d/1IYY_tgx_IHuhSq3AJ5eI5OnqOPBNLWSHKh2a30DoXe8/edit?usp=sharing"",""พัทลุง!I405"")"),0)</f>
        <v>0</v>
      </c>
      <c r="J510" s="204">
        <f ca="1">IFERROR(__xludf.DUMMYFUNCTION("IMPORTRANGE(""https://docs.google.com/spreadsheets/d/1IYY_tgx_IHuhSq3AJ5eI5OnqOPBNLWSHKh2a30DoXe8/edit?usp=sharing"",""พัทลุง!J405"")"),0)</f>
        <v>0</v>
      </c>
      <c r="K510" s="167">
        <f t="shared" ca="1" si="116"/>
        <v>0</v>
      </c>
      <c r="L510" s="188"/>
      <c r="M510" s="188"/>
      <c r="N510" s="188"/>
      <c r="O510" s="188"/>
      <c r="P510" s="188"/>
    </row>
    <row r="511" spans="1:16" ht="21.75" customHeight="1" x14ac:dyDescent="0.35">
      <c r="A511" s="182"/>
      <c r="B511" s="183"/>
      <c r="C511" s="183"/>
      <c r="D511" s="200"/>
      <c r="E511" s="202"/>
      <c r="F511" s="202"/>
      <c r="G511" s="202"/>
      <c r="H511" s="428" t="s">
        <v>36</v>
      </c>
      <c r="I511" s="194">
        <f ca="1">IFERROR(__xludf.DUMMYFUNCTION("IMPORTRANGE(""https://docs.google.com/spreadsheets/d/1IYY_tgx_IHuhSq3AJ5eI5OnqOPBNLWSHKh2a30DoXe8/edit?usp=sharing"",""พัทลุง!I406"")"),0)</f>
        <v>0</v>
      </c>
      <c r="J511" s="204">
        <f ca="1">IFERROR(__xludf.DUMMYFUNCTION("IMPORTRANGE(""https://docs.google.com/spreadsheets/d/1IYY_tgx_IHuhSq3AJ5eI5OnqOPBNLWSHKh2a30DoXe8/edit?usp=sharing"",""พัทลุง!J406"")"),0)</f>
        <v>0</v>
      </c>
      <c r="K511" s="167">
        <f t="shared" ca="1" si="116"/>
        <v>0</v>
      </c>
      <c r="L511" s="188"/>
      <c r="M511" s="188"/>
      <c r="N511" s="188"/>
      <c r="O511" s="188"/>
      <c r="P511" s="188"/>
    </row>
    <row r="512" spans="1:16" ht="21.75" customHeight="1" x14ac:dyDescent="0.35">
      <c r="A512" s="182"/>
      <c r="B512" s="183"/>
      <c r="C512" s="183"/>
      <c r="D512" s="200"/>
      <c r="E512" s="202"/>
      <c r="F512" s="201" t="s">
        <v>191</v>
      </c>
      <c r="G512" s="202"/>
      <c r="H512" s="428" t="s">
        <v>122</v>
      </c>
      <c r="I512" s="194">
        <f ca="1">IFERROR(__xludf.DUMMYFUNCTION("IMPORTRANGE(""https://docs.google.com/spreadsheets/d/1IYY_tgx_IHuhSq3AJ5eI5OnqOPBNLWSHKh2a30DoXe8/edit?usp=sharing"",""พัทลุง!I407"")"),0)</f>
        <v>0</v>
      </c>
      <c r="J512" s="204">
        <f ca="1">IFERROR(__xludf.DUMMYFUNCTION("IMPORTRANGE(""https://docs.google.com/spreadsheets/d/1IYY_tgx_IHuhSq3AJ5eI5OnqOPBNLWSHKh2a30DoXe8/edit?usp=sharing"",""พัทลุง!J407"")"),0)</f>
        <v>0</v>
      </c>
      <c r="K512" s="167">
        <f t="shared" ca="1" si="116"/>
        <v>0</v>
      </c>
      <c r="L512" s="188"/>
      <c r="M512" s="188"/>
      <c r="N512" s="188"/>
      <c r="O512" s="188"/>
      <c r="P512" s="188"/>
    </row>
    <row r="513" spans="1:16" ht="21.75" customHeight="1" x14ac:dyDescent="0.35">
      <c r="A513" s="182"/>
      <c r="B513" s="183"/>
      <c r="C513" s="183"/>
      <c r="D513" s="200"/>
      <c r="E513" s="202"/>
      <c r="F513" s="202"/>
      <c r="G513" s="203"/>
      <c r="H513" s="428" t="s">
        <v>36</v>
      </c>
      <c r="I513" s="194">
        <f ca="1">IFERROR(__xludf.DUMMYFUNCTION("IMPORTRANGE(""https://docs.google.com/spreadsheets/d/1IYY_tgx_IHuhSq3AJ5eI5OnqOPBNLWSHKh2a30DoXe8/edit?usp=sharing"",""พัทลุง!I408"")"),0)</f>
        <v>0</v>
      </c>
      <c r="J513" s="204">
        <f ca="1">IFERROR(__xludf.DUMMYFUNCTION("IMPORTRANGE(""https://docs.google.com/spreadsheets/d/1IYY_tgx_IHuhSq3AJ5eI5OnqOPBNLWSHKh2a30DoXe8/edit?usp=sharing"",""พัทลุง!J408"")"),0)</f>
        <v>0</v>
      </c>
      <c r="K513" s="167">
        <f t="shared" ca="1" si="116"/>
        <v>0</v>
      </c>
      <c r="L513" s="188"/>
      <c r="M513" s="188"/>
      <c r="N513" s="188"/>
      <c r="O513" s="188"/>
      <c r="P513" s="188"/>
    </row>
    <row r="514" spans="1:16" ht="21.75" customHeight="1" x14ac:dyDescent="0.35">
      <c r="A514" s="182"/>
      <c r="B514" s="183"/>
      <c r="C514" s="183"/>
      <c r="D514" s="410"/>
      <c r="E514" s="456" t="s">
        <v>192</v>
      </c>
      <c r="F514" s="202"/>
      <c r="G514" s="203"/>
      <c r="H514" s="428" t="s">
        <v>122</v>
      </c>
      <c r="I514" s="194">
        <f ca="1">IFERROR(__xludf.DUMMYFUNCTION("IMPORTRANGE(""https://docs.google.com/spreadsheets/d/1IYY_tgx_IHuhSq3AJ5eI5OnqOPBNLWSHKh2a30DoXe8/edit?usp=sharing"",""พัทลุง!I409"")"),0)</f>
        <v>0</v>
      </c>
      <c r="J514" s="204">
        <f ca="1">IFERROR(__xludf.DUMMYFUNCTION("IMPORTRANGE(""https://docs.google.com/spreadsheets/d/1IYY_tgx_IHuhSq3AJ5eI5OnqOPBNLWSHKh2a30DoXe8/edit?usp=sharing"",""พัทลุง!J409"")"),0)</f>
        <v>0</v>
      </c>
      <c r="K514" s="167">
        <f t="shared" ca="1" si="116"/>
        <v>0</v>
      </c>
      <c r="L514" s="188"/>
      <c r="M514" s="188"/>
      <c r="N514" s="188"/>
      <c r="O514" s="188"/>
      <c r="P514" s="188"/>
    </row>
    <row r="515" spans="1:16" ht="21.75" customHeight="1" x14ac:dyDescent="0.35">
      <c r="A515" s="182"/>
      <c r="B515" s="183"/>
      <c r="C515" s="183"/>
      <c r="D515" s="200"/>
      <c r="E515" s="202"/>
      <c r="F515" s="202"/>
      <c r="G515" s="203"/>
      <c r="H515" s="428" t="s">
        <v>36</v>
      </c>
      <c r="I515" s="194">
        <f ca="1">IFERROR(__xludf.DUMMYFUNCTION("IMPORTRANGE(""https://docs.google.com/spreadsheets/d/1IYY_tgx_IHuhSq3AJ5eI5OnqOPBNLWSHKh2a30DoXe8/edit?usp=sharing"",""พัทลุง!I410"")"),0)</f>
        <v>0</v>
      </c>
      <c r="J515" s="204">
        <f ca="1">IFERROR(__xludf.DUMMYFUNCTION("IMPORTRANGE(""https://docs.google.com/spreadsheets/d/1IYY_tgx_IHuhSq3AJ5eI5OnqOPBNLWSHKh2a30DoXe8/edit?usp=sharing"",""พัทลุง!J410"")"),0)</f>
        <v>0</v>
      </c>
      <c r="K515" s="167">
        <f t="shared" ca="1" si="116"/>
        <v>0</v>
      </c>
      <c r="L515" s="188"/>
      <c r="M515" s="188"/>
      <c r="N515" s="188"/>
      <c r="O515" s="188"/>
      <c r="P515" s="188"/>
    </row>
    <row r="516" spans="1:16" ht="21.75" customHeight="1" x14ac:dyDescent="0.35">
      <c r="A516" s="182"/>
      <c r="B516" s="183"/>
      <c r="C516" s="421" t="s">
        <v>193</v>
      </c>
      <c r="D516" s="421"/>
      <c r="E516" s="457"/>
      <c r="F516" s="457"/>
      <c r="G516" s="458"/>
      <c r="H516" s="459" t="s">
        <v>122</v>
      </c>
      <c r="I516" s="273">
        <f ca="1">IFERROR(__xludf.DUMMYFUNCTION("IMPORTRANGE(""https://docs.google.com/spreadsheets/d/1IYY_tgx_IHuhSq3AJ5eI5OnqOPBNLWSHKh2a30DoXe8/edit?usp=sharing"",""พัทลุง!I411"")"),0)</f>
        <v>0</v>
      </c>
      <c r="J516" s="273">
        <f ca="1">IFERROR(__xludf.DUMMYFUNCTION("IMPORTRANGE(""https://docs.google.com/spreadsheets/d/1IYY_tgx_IHuhSq3AJ5eI5OnqOPBNLWSHKh2a30DoXe8/edit?usp=sharing"",""พัทลุง!J411"")"),0)</f>
        <v>0</v>
      </c>
      <c r="K516" s="274">
        <v>0</v>
      </c>
      <c r="L516" s="188"/>
      <c r="M516" s="188"/>
      <c r="N516" s="188"/>
      <c r="O516" s="188"/>
      <c r="P516" s="188"/>
    </row>
    <row r="517" spans="1:16" ht="21.75" customHeight="1" x14ac:dyDescent="0.35">
      <c r="A517" s="182"/>
      <c r="B517" s="183"/>
      <c r="C517" s="460"/>
      <c r="D517" s="460"/>
      <c r="E517" s="460" t="s">
        <v>194</v>
      </c>
      <c r="F517" s="461"/>
      <c r="G517" s="462"/>
      <c r="H517" s="463" t="s">
        <v>122</v>
      </c>
      <c r="I517" s="290">
        <f ca="1">IFERROR(__xludf.DUMMYFUNCTION("IMPORTRANGE(""https://docs.google.com/spreadsheets/d/1IYY_tgx_IHuhSq3AJ5eI5OnqOPBNLWSHKh2a30DoXe8/edit?usp=sharing"",""พัทลุง!I412"")"),0)</f>
        <v>0</v>
      </c>
      <c r="J517" s="290">
        <f ca="1">IFERROR(__xludf.DUMMYFUNCTION("IMPORTRANGE(""https://docs.google.com/spreadsheets/d/1IYY_tgx_IHuhSq3AJ5eI5OnqOPBNLWSHKh2a30DoXe8/edit?usp=sharing"",""พัทลุง!J412"")"),0)</f>
        <v>0</v>
      </c>
      <c r="K517" s="291">
        <v>0</v>
      </c>
      <c r="L517" s="188"/>
      <c r="M517" s="188"/>
      <c r="N517" s="188"/>
      <c r="O517" s="188"/>
      <c r="P517" s="188"/>
    </row>
    <row r="518" spans="1:16" ht="21.75" customHeight="1" x14ac:dyDescent="0.35">
      <c r="A518" s="182"/>
      <c r="B518" s="183"/>
      <c r="C518" s="460"/>
      <c r="D518" s="460"/>
      <c r="E518" s="460" t="s">
        <v>195</v>
      </c>
      <c r="F518" s="461"/>
      <c r="G518" s="462"/>
      <c r="H518" s="463" t="s">
        <v>36</v>
      </c>
      <c r="I518" s="290">
        <f ca="1">IFERROR(__xludf.DUMMYFUNCTION("IMPORTRANGE(""https://docs.google.com/spreadsheets/d/1IYY_tgx_IHuhSq3AJ5eI5OnqOPBNLWSHKh2a30DoXe8/edit?usp=sharing"",""พัทลุง!I413"")"),0)</f>
        <v>0</v>
      </c>
      <c r="J518" s="290">
        <f ca="1">IFERROR(__xludf.DUMMYFUNCTION("IMPORTRANGE(""https://docs.google.com/spreadsheets/d/1IYY_tgx_IHuhSq3AJ5eI5OnqOPBNLWSHKh2a30DoXe8/edit?usp=sharing"",""พัทลุง!J413"")"),0)</f>
        <v>0</v>
      </c>
      <c r="K518" s="291">
        <v>0</v>
      </c>
      <c r="L518" s="188"/>
      <c r="M518" s="188"/>
      <c r="N518" s="188"/>
      <c r="O518" s="188"/>
      <c r="P518" s="188"/>
    </row>
    <row r="519" spans="1:16" ht="21.75" customHeight="1" x14ac:dyDescent="0.35">
      <c r="A519" s="182"/>
      <c r="B519" s="183"/>
      <c r="C519" s="183"/>
      <c r="D519" s="200"/>
      <c r="E519" s="202"/>
      <c r="F519" s="202"/>
      <c r="G519" s="232" t="s">
        <v>196</v>
      </c>
      <c r="H519" s="428" t="s">
        <v>122</v>
      </c>
      <c r="I519" s="194">
        <f ca="1">IFERROR(__xludf.DUMMYFUNCTION("IMPORTRANGE(""https://docs.google.com/spreadsheets/d/1IYY_tgx_IHuhSq3AJ5eI5OnqOPBNLWSHKh2a30DoXe8/edit?usp=sharing"",""พัทลุง!I414"")"),0)</f>
        <v>0</v>
      </c>
      <c r="J519" s="194">
        <f ca="1">IFERROR(__xludf.DUMMYFUNCTION("IMPORTRANGE(""https://docs.google.com/spreadsheets/d/1IYY_tgx_IHuhSq3AJ5eI5OnqOPBNLWSHKh2a30DoXe8/edit?usp=sharing"",""พัทลุง!J414"")"),0)</f>
        <v>0</v>
      </c>
      <c r="K519" s="167">
        <v>0</v>
      </c>
      <c r="L519" s="188"/>
      <c r="M519" s="188"/>
      <c r="N519" s="188"/>
      <c r="O519" s="188"/>
      <c r="P519" s="188"/>
    </row>
    <row r="520" spans="1:16" ht="21.75" customHeight="1" x14ac:dyDescent="0.35">
      <c r="A520" s="182"/>
      <c r="B520" s="183"/>
      <c r="C520" s="183"/>
      <c r="D520" s="200"/>
      <c r="E520" s="202"/>
      <c r="F520" s="202"/>
      <c r="G520" s="203"/>
      <c r="H520" s="428" t="s">
        <v>36</v>
      </c>
      <c r="I520" s="194">
        <f ca="1">IFERROR(__xludf.DUMMYFUNCTION("IMPORTRANGE(""https://docs.google.com/spreadsheets/d/1IYY_tgx_IHuhSq3AJ5eI5OnqOPBNLWSHKh2a30DoXe8/edit?usp=sharing"",""พัทลุง!I415"")"),0)</f>
        <v>0</v>
      </c>
      <c r="J520" s="194">
        <f ca="1">IFERROR(__xludf.DUMMYFUNCTION("IMPORTRANGE(""https://docs.google.com/spreadsheets/d/1IYY_tgx_IHuhSq3AJ5eI5OnqOPBNLWSHKh2a30DoXe8/edit?usp=sharing"",""พัทลุง!J415"")"),0)</f>
        <v>0</v>
      </c>
      <c r="K520" s="167">
        <v>0</v>
      </c>
      <c r="L520" s="188"/>
      <c r="M520" s="188"/>
      <c r="N520" s="188"/>
      <c r="O520" s="188"/>
      <c r="P520" s="188"/>
    </row>
    <row r="521" spans="1:16" ht="21.75" customHeight="1" x14ac:dyDescent="0.35">
      <c r="A521" s="182"/>
      <c r="B521" s="183"/>
      <c r="C521" s="183"/>
      <c r="D521" s="200"/>
      <c r="E521" s="202"/>
      <c r="F521" s="202"/>
      <c r="G521" s="232" t="s">
        <v>197</v>
      </c>
      <c r="H521" s="428" t="s">
        <v>122</v>
      </c>
      <c r="I521" s="194">
        <f ca="1">IFERROR(__xludf.DUMMYFUNCTION("IMPORTRANGE(""https://docs.google.com/spreadsheets/d/1IYY_tgx_IHuhSq3AJ5eI5OnqOPBNLWSHKh2a30DoXe8/edit?usp=sharing"",""พัทลุง!I416"")"),0)</f>
        <v>0</v>
      </c>
      <c r="J521" s="194">
        <f ca="1">IFERROR(__xludf.DUMMYFUNCTION("IMPORTRANGE(""https://docs.google.com/spreadsheets/d/1IYY_tgx_IHuhSq3AJ5eI5OnqOPBNLWSHKh2a30DoXe8/edit?usp=sharing"",""พัทลุง!J416"")"),0)</f>
        <v>0</v>
      </c>
      <c r="K521" s="167">
        <v>0</v>
      </c>
      <c r="L521" s="188"/>
      <c r="M521" s="188"/>
      <c r="N521" s="188"/>
      <c r="O521" s="188"/>
      <c r="P521" s="188"/>
    </row>
    <row r="522" spans="1:16" ht="21.75" customHeight="1" x14ac:dyDescent="0.35">
      <c r="A522" s="182"/>
      <c r="B522" s="183"/>
      <c r="C522" s="183"/>
      <c r="D522" s="200"/>
      <c r="E522" s="202"/>
      <c r="F522" s="202"/>
      <c r="G522" s="203"/>
      <c r="H522" s="428" t="s">
        <v>36</v>
      </c>
      <c r="I522" s="194">
        <f ca="1">IFERROR(__xludf.DUMMYFUNCTION("IMPORTRANGE(""https://docs.google.com/spreadsheets/d/1IYY_tgx_IHuhSq3AJ5eI5OnqOPBNLWSHKh2a30DoXe8/edit?usp=sharing"",""พัทลุง!I417"")"),0)</f>
        <v>0</v>
      </c>
      <c r="J522" s="194">
        <f ca="1">IFERROR(__xludf.DUMMYFUNCTION("IMPORTRANGE(""https://docs.google.com/spreadsheets/d/1IYY_tgx_IHuhSq3AJ5eI5OnqOPBNLWSHKh2a30DoXe8/edit?usp=sharing"",""พัทลุง!J417"")"),0)</f>
        <v>0</v>
      </c>
      <c r="K522" s="167">
        <v>0</v>
      </c>
      <c r="L522" s="188"/>
      <c r="M522" s="188"/>
      <c r="N522" s="188"/>
      <c r="O522" s="188"/>
      <c r="P522" s="188"/>
    </row>
    <row r="523" spans="1:16" ht="21.75" customHeight="1" x14ac:dyDescent="0.35">
      <c r="A523" s="182"/>
      <c r="B523" s="183"/>
      <c r="C523" s="183"/>
      <c r="D523" s="200"/>
      <c r="E523" s="202"/>
      <c r="F523" s="202"/>
      <c r="G523" s="464" t="s">
        <v>198</v>
      </c>
      <c r="H523" s="428" t="s">
        <v>122</v>
      </c>
      <c r="I523" s="194">
        <f ca="1">IFERROR(__xludf.DUMMYFUNCTION("IMPORTRANGE(""https://docs.google.com/spreadsheets/d/1IYY_tgx_IHuhSq3AJ5eI5OnqOPBNLWSHKh2a30DoXe8/edit?usp=sharing"",""พัทลุง!I418"")"),0)</f>
        <v>0</v>
      </c>
      <c r="J523" s="194">
        <f ca="1">IFERROR(__xludf.DUMMYFUNCTION("IMPORTRANGE(""https://docs.google.com/spreadsheets/d/1IYY_tgx_IHuhSq3AJ5eI5OnqOPBNLWSHKh2a30DoXe8/edit?usp=sharing"",""พัทลุง!J418"")"),29)</f>
        <v>29</v>
      </c>
      <c r="K523" s="167">
        <v>0</v>
      </c>
      <c r="L523" s="188"/>
      <c r="M523" s="188"/>
      <c r="N523" s="188"/>
      <c r="O523" s="188"/>
      <c r="P523" s="188"/>
    </row>
    <row r="524" spans="1:16" ht="21.75" customHeight="1" x14ac:dyDescent="0.35">
      <c r="A524" s="182"/>
      <c r="B524" s="183"/>
      <c r="C524" s="183"/>
      <c r="D524" s="200"/>
      <c r="E524" s="202"/>
      <c r="F524" s="202"/>
      <c r="G524" s="203"/>
      <c r="H524" s="428" t="s">
        <v>36</v>
      </c>
      <c r="I524" s="194">
        <f ca="1">IFERROR(__xludf.DUMMYFUNCTION("IMPORTRANGE(""https://docs.google.com/spreadsheets/d/1IYY_tgx_IHuhSq3AJ5eI5OnqOPBNLWSHKh2a30DoXe8/edit?usp=sharing"",""พัทลุง!I419"")"),0)</f>
        <v>0</v>
      </c>
      <c r="J524" s="194">
        <f ca="1">IFERROR(__xludf.DUMMYFUNCTION("IMPORTRANGE(""https://docs.google.com/spreadsheets/d/1IYY_tgx_IHuhSq3AJ5eI5OnqOPBNLWSHKh2a30DoXe8/edit?usp=sharing"",""พัทลุง!J419"")"),10)</f>
        <v>10</v>
      </c>
      <c r="K524" s="167">
        <v>0</v>
      </c>
      <c r="L524" s="188"/>
      <c r="M524" s="188"/>
      <c r="N524" s="188"/>
      <c r="O524" s="188"/>
      <c r="P524" s="188"/>
    </row>
    <row r="525" spans="1:16" ht="21.75" customHeight="1" x14ac:dyDescent="0.35">
      <c r="A525" s="182"/>
      <c r="B525" s="183"/>
      <c r="C525" s="460"/>
      <c r="D525" s="460"/>
      <c r="E525" s="460" t="s">
        <v>199</v>
      </c>
      <c r="F525" s="461"/>
      <c r="G525" s="462"/>
      <c r="H525" s="463" t="s">
        <v>122</v>
      </c>
      <c r="I525" s="290">
        <f ca="1">IFERROR(__xludf.DUMMYFUNCTION("IMPORTRANGE(""https://docs.google.com/spreadsheets/d/1IYY_tgx_IHuhSq3AJ5eI5OnqOPBNLWSHKh2a30DoXe8/edit?usp=sharing"",""พัทลุง!I420"")"),29)</f>
        <v>29</v>
      </c>
      <c r="J525" s="290">
        <f ca="1">IFERROR(__xludf.DUMMYFUNCTION("IMPORTRANGE(""https://docs.google.com/spreadsheets/d/1IYY_tgx_IHuhSq3AJ5eI5OnqOPBNLWSHKh2a30DoXe8/edit?usp=sharing"",""พัทลุง!J420"")"),0)</f>
        <v>0</v>
      </c>
      <c r="K525" s="291">
        <v>0</v>
      </c>
      <c r="L525" s="188"/>
      <c r="M525" s="188"/>
      <c r="N525" s="188"/>
      <c r="O525" s="188"/>
      <c r="P525" s="188"/>
    </row>
    <row r="526" spans="1:16" ht="21.75" customHeight="1" x14ac:dyDescent="0.35">
      <c r="A526" s="182"/>
      <c r="B526" s="183"/>
      <c r="C526" s="460"/>
      <c r="D526" s="460"/>
      <c r="E526" s="460" t="s">
        <v>200</v>
      </c>
      <c r="F526" s="461"/>
      <c r="G526" s="462"/>
      <c r="H526" s="463" t="s">
        <v>36</v>
      </c>
      <c r="I526" s="290">
        <f ca="1">IFERROR(__xludf.DUMMYFUNCTION("IMPORTRANGE(""https://docs.google.com/spreadsheets/d/1IYY_tgx_IHuhSq3AJ5eI5OnqOPBNLWSHKh2a30DoXe8/edit?usp=sharing"",""พัทลุง!I421"")"),10)</f>
        <v>10</v>
      </c>
      <c r="J526" s="290">
        <f ca="1">IFERROR(__xludf.DUMMYFUNCTION("IMPORTRANGE(""https://docs.google.com/spreadsheets/d/1IYY_tgx_IHuhSq3AJ5eI5OnqOPBNLWSHKh2a30DoXe8/edit?usp=sharing"",""พัทลุง!J421"")"),0)</f>
        <v>0</v>
      </c>
      <c r="K526" s="291">
        <v>0</v>
      </c>
      <c r="L526" s="188"/>
      <c r="M526" s="188"/>
      <c r="N526" s="188"/>
      <c r="O526" s="188"/>
      <c r="P526" s="188"/>
    </row>
    <row r="527" spans="1:16" ht="21.75" customHeight="1" x14ac:dyDescent="0.35">
      <c r="A527" s="182"/>
      <c r="B527" s="183"/>
      <c r="C527" s="183"/>
      <c r="D527" s="200"/>
      <c r="E527" s="202"/>
      <c r="F527" s="202"/>
      <c r="G527" s="232" t="s">
        <v>196</v>
      </c>
      <c r="H527" s="428" t="s">
        <v>122</v>
      </c>
      <c r="I527" s="194">
        <f ca="1">IFERROR(__xludf.DUMMYFUNCTION("IMPORTRANGE(""https://docs.google.com/spreadsheets/d/1IYY_tgx_IHuhSq3AJ5eI5OnqOPBNLWSHKh2a30DoXe8/edit?usp=sharing"",""พัทลุง!I422"")"),0)</f>
        <v>0</v>
      </c>
      <c r="J527" s="204">
        <f ca="1">IFERROR(__xludf.DUMMYFUNCTION("IMPORTRANGE(""https://docs.google.com/spreadsheets/d/1IYY_tgx_IHuhSq3AJ5eI5OnqOPBNLWSHKh2a30DoXe8/edit?usp=sharing"",""พัทลุง!J422"")"),0)</f>
        <v>0</v>
      </c>
      <c r="K527" s="167">
        <v>0</v>
      </c>
      <c r="L527" s="188"/>
      <c r="M527" s="188"/>
      <c r="N527" s="188"/>
      <c r="O527" s="188"/>
      <c r="P527" s="188"/>
    </row>
    <row r="528" spans="1:16" ht="21.75" customHeight="1" x14ac:dyDescent="0.35">
      <c r="A528" s="182"/>
      <c r="B528" s="183"/>
      <c r="C528" s="183"/>
      <c r="D528" s="200"/>
      <c r="E528" s="202"/>
      <c r="F528" s="202"/>
      <c r="G528" s="203"/>
      <c r="H528" s="428" t="s">
        <v>36</v>
      </c>
      <c r="I528" s="194">
        <f ca="1">IFERROR(__xludf.DUMMYFUNCTION("IMPORTRANGE(""https://docs.google.com/spreadsheets/d/1IYY_tgx_IHuhSq3AJ5eI5OnqOPBNLWSHKh2a30DoXe8/edit?usp=sharing"",""พัทลุง!I423"")"),0)</f>
        <v>0</v>
      </c>
      <c r="J528" s="204">
        <f ca="1">IFERROR(__xludf.DUMMYFUNCTION("IMPORTRANGE(""https://docs.google.com/spreadsheets/d/1IYY_tgx_IHuhSq3AJ5eI5OnqOPBNLWSHKh2a30DoXe8/edit?usp=sharing"",""พัทลุง!J423"")"),0)</f>
        <v>0</v>
      </c>
      <c r="K528" s="167">
        <v>0</v>
      </c>
      <c r="L528" s="188"/>
      <c r="M528" s="188"/>
      <c r="N528" s="188"/>
      <c r="O528" s="188"/>
      <c r="P528" s="188"/>
    </row>
    <row r="529" spans="1:16" ht="21.75" customHeight="1" x14ac:dyDescent="0.35">
      <c r="A529" s="182"/>
      <c r="B529" s="183"/>
      <c r="C529" s="183"/>
      <c r="D529" s="200"/>
      <c r="E529" s="202"/>
      <c r="F529" s="202"/>
      <c r="G529" s="232" t="s">
        <v>197</v>
      </c>
      <c r="H529" s="428" t="s">
        <v>122</v>
      </c>
      <c r="I529" s="194">
        <f ca="1">IFERROR(__xludf.DUMMYFUNCTION("IMPORTRANGE(""https://docs.google.com/spreadsheets/d/1IYY_tgx_IHuhSq3AJ5eI5OnqOPBNLWSHKh2a30DoXe8/edit?usp=sharing"",""พัทลุง!I424"")"),0)</f>
        <v>0</v>
      </c>
      <c r="J529" s="204">
        <f ca="1">IFERROR(__xludf.DUMMYFUNCTION("IMPORTRANGE(""https://docs.google.com/spreadsheets/d/1IYY_tgx_IHuhSq3AJ5eI5OnqOPBNLWSHKh2a30DoXe8/edit?usp=sharing"",""พัทลุง!J424"")"),0)</f>
        <v>0</v>
      </c>
      <c r="K529" s="167">
        <v>0</v>
      </c>
      <c r="L529" s="188"/>
      <c r="M529" s="188"/>
      <c r="N529" s="188"/>
      <c r="O529" s="188"/>
      <c r="P529" s="188"/>
    </row>
    <row r="530" spans="1:16" ht="21.75" customHeight="1" x14ac:dyDescent="0.35">
      <c r="A530" s="182"/>
      <c r="B530" s="183"/>
      <c r="C530" s="183"/>
      <c r="D530" s="200"/>
      <c r="E530" s="202"/>
      <c r="F530" s="202"/>
      <c r="G530" s="203"/>
      <c r="H530" s="428" t="s">
        <v>36</v>
      </c>
      <c r="I530" s="194">
        <f ca="1">IFERROR(__xludf.DUMMYFUNCTION("IMPORTRANGE(""https://docs.google.com/spreadsheets/d/1IYY_tgx_IHuhSq3AJ5eI5OnqOPBNLWSHKh2a30DoXe8/edit?usp=sharing"",""พัทลุง!I425"")"),0)</f>
        <v>0</v>
      </c>
      <c r="J530" s="204">
        <f ca="1">IFERROR(__xludf.DUMMYFUNCTION("IMPORTRANGE(""https://docs.google.com/spreadsheets/d/1IYY_tgx_IHuhSq3AJ5eI5OnqOPBNLWSHKh2a30DoXe8/edit?usp=sharing"",""พัทลุง!J425"")"),0)</f>
        <v>0</v>
      </c>
      <c r="K530" s="167">
        <v>0</v>
      </c>
      <c r="L530" s="188"/>
      <c r="M530" s="188"/>
      <c r="N530" s="188"/>
      <c r="O530" s="188"/>
      <c r="P530" s="188"/>
    </row>
    <row r="531" spans="1:16" ht="21.75" customHeight="1" x14ac:dyDescent="0.35">
      <c r="A531" s="182"/>
      <c r="B531" s="183"/>
      <c r="C531" s="183"/>
      <c r="D531" s="200"/>
      <c r="E531" s="202"/>
      <c r="F531" s="202"/>
      <c r="G531" s="232" t="s">
        <v>201</v>
      </c>
      <c r="H531" s="428" t="s">
        <v>122</v>
      </c>
      <c r="I531" s="194">
        <f ca="1">IFERROR(__xludf.DUMMYFUNCTION("IMPORTRANGE(""https://docs.google.com/spreadsheets/d/1IYY_tgx_IHuhSq3AJ5eI5OnqOPBNLWSHKh2a30DoXe8/edit?usp=sharing"",""พัทลุง!I426"")"),0)</f>
        <v>0</v>
      </c>
      <c r="J531" s="204">
        <f ca="1">IFERROR(__xludf.DUMMYFUNCTION("IMPORTRANGE(""https://docs.google.com/spreadsheets/d/1IYY_tgx_IHuhSq3AJ5eI5OnqOPBNLWSHKh2a30DoXe8/edit?usp=sharing"",""พัทลุง!J426"")"),0)</f>
        <v>0</v>
      </c>
      <c r="K531" s="167">
        <v>0</v>
      </c>
      <c r="L531" s="188"/>
      <c r="M531" s="188"/>
      <c r="N531" s="188"/>
      <c r="O531" s="188"/>
      <c r="P531" s="188"/>
    </row>
    <row r="532" spans="1:16" ht="21.75" customHeight="1" x14ac:dyDescent="0.35">
      <c r="A532" s="465"/>
      <c r="B532" s="466"/>
      <c r="C532" s="466"/>
      <c r="D532" s="467"/>
      <c r="E532" s="468"/>
      <c r="F532" s="468"/>
      <c r="G532" s="469"/>
      <c r="H532" s="470" t="s">
        <v>36</v>
      </c>
      <c r="I532" s="471">
        <f ca="1">IFERROR(__xludf.DUMMYFUNCTION("IMPORTRANGE(""https://docs.google.com/spreadsheets/d/1IYY_tgx_IHuhSq3AJ5eI5OnqOPBNLWSHKh2a30DoXe8/edit?usp=sharing"",""พัทลุง!I427"")"),0)</f>
        <v>0</v>
      </c>
      <c r="J532" s="472">
        <f ca="1">IFERROR(__xludf.DUMMYFUNCTION("IMPORTRANGE(""https://docs.google.com/spreadsheets/d/1IYY_tgx_IHuhSq3AJ5eI5OnqOPBNLWSHKh2a30DoXe8/edit?usp=sharing"",""พัทลุง!J427"")"),0)</f>
        <v>0</v>
      </c>
      <c r="K532" s="473">
        <v>0</v>
      </c>
      <c r="L532" s="474"/>
      <c r="M532" s="474"/>
      <c r="N532" s="474"/>
      <c r="O532" s="474"/>
      <c r="P532" s="474"/>
    </row>
    <row r="533" spans="1:16" ht="21.75" customHeight="1" x14ac:dyDescent="0.35">
      <c r="A533" s="411"/>
      <c r="B533" s="412">
        <v>6</v>
      </c>
      <c r="C533" s="413" t="s">
        <v>202</v>
      </c>
      <c r="D533" s="413"/>
      <c r="E533" s="413"/>
      <c r="F533" s="413"/>
      <c r="G533" s="414"/>
      <c r="H533" s="415" t="s">
        <v>37</v>
      </c>
      <c r="I533" s="416">
        <f ca="1">IFERROR(__xludf.DUMMYFUNCTION("IMPORTRANGE(""https://docs.google.com/spreadsheets/d/1IYY_tgx_IHuhSq3AJ5eI5OnqOPBNLWSHKh2a30DoXe8/edit?usp=sharing"",""พัทลุง!I428"")"),20)</f>
        <v>20</v>
      </c>
      <c r="J533" s="416">
        <f ca="1">IFERROR(__xludf.DUMMYFUNCTION("IMPORTRANGE(""https://docs.google.com/spreadsheets/d/1IYY_tgx_IHuhSq3AJ5eI5OnqOPBNLWSHKh2a30DoXe8/edit?usp=sharing"",""พัทลุง!J428"")"),20)</f>
        <v>20</v>
      </c>
      <c r="K533" s="417">
        <f ca="1">IF(I533&gt;0,J533*100/I533,0)</f>
        <v>100</v>
      </c>
      <c r="L533" s="418">
        <f ca="1">IFERROR(__xludf.DUMMYFUNCTION("IMPORTRANGE(""https://docs.google.com/spreadsheets/d/1IYY_tgx_IHuhSq3AJ5eI5OnqOPBNLWSHKh2a30DoXe8/edit?usp=sharing"",""พัทลุง!L428"")"),32640)</f>
        <v>32640</v>
      </c>
      <c r="M533" s="418"/>
      <c r="N533" s="418">
        <f ca="1">IFERROR(__xludf.DUMMYFUNCTION("IMPORTRANGE(""https://docs.google.com/spreadsheets/d/1IYY_tgx_IHuhSq3AJ5eI5OnqOPBNLWSHKh2a30DoXe8/edit?usp=sharing"",""พัทลุง!M428"")"),22310)</f>
        <v>22310</v>
      </c>
      <c r="O533" s="418">
        <f t="shared" ref="O533:O537" ca="1" si="117">+IF(L533&gt;0,N533*100/L533,0)</f>
        <v>68.351715686274517</v>
      </c>
      <c r="P533" s="418"/>
    </row>
    <row r="534" spans="1:16" ht="21.75" customHeight="1" x14ac:dyDescent="0.35">
      <c r="A534" s="162"/>
      <c r="B534" s="163"/>
      <c r="C534" s="163" t="s">
        <v>16</v>
      </c>
      <c r="D534" s="284" t="s">
        <v>77</v>
      </c>
      <c r="E534" s="171"/>
      <c r="F534" s="171"/>
      <c r="G534" s="164" t="s">
        <v>38</v>
      </c>
      <c r="H534" s="165" t="s">
        <v>12</v>
      </c>
      <c r="I534" s="166" t="s">
        <v>39</v>
      </c>
      <c r="J534" s="166"/>
      <c r="K534" s="167"/>
      <c r="L534" s="168">
        <f ca="1">IFERROR(__xludf.DUMMYFUNCTION("IMPORTRANGE(""https://docs.google.com/spreadsheets/d/1IYY_tgx_IHuhSq3AJ5eI5OnqOPBNLWSHKh2a30DoXe8/edit?usp=sharing"",""พัทลุง!L429"")"),0)</f>
        <v>0</v>
      </c>
      <c r="M534" s="168"/>
      <c r="N534" s="175">
        <f ca="1">IFERROR(__xludf.DUMMYFUNCTION("IMPORTRANGE(""https://docs.google.com/spreadsheets/d/1IYY_tgx_IHuhSq3AJ5eI5OnqOPBNLWSHKh2a30DoXe8/edit?usp=sharing"",""พัทลุง!M429"")"),0)</f>
        <v>0</v>
      </c>
      <c r="O534" s="175">
        <f t="shared" ca="1" si="117"/>
        <v>0</v>
      </c>
      <c r="P534" s="175"/>
    </row>
    <row r="535" spans="1:16" ht="21.75" customHeight="1" x14ac:dyDescent="0.35">
      <c r="A535" s="162"/>
      <c r="B535" s="163"/>
      <c r="C535" s="163"/>
      <c r="D535" s="170"/>
      <c r="E535" s="171"/>
      <c r="F535" s="171" t="s">
        <v>39</v>
      </c>
      <c r="G535" s="164" t="s">
        <v>40</v>
      </c>
      <c r="H535" s="165" t="s">
        <v>12</v>
      </c>
      <c r="I535" s="166"/>
      <c r="J535" s="166"/>
      <c r="K535" s="167"/>
      <c r="L535" s="169">
        <f ca="1">IFERROR(__xludf.DUMMYFUNCTION("IMPORTRANGE(""https://docs.google.com/spreadsheets/d/1IYY_tgx_IHuhSq3AJ5eI5OnqOPBNLWSHKh2a30DoXe8/edit?usp=sharing"",""พัทลุง!L430"")"),32640)</f>
        <v>32640</v>
      </c>
      <c r="M535" s="169"/>
      <c r="N535" s="175">
        <f ca="1">IFERROR(__xludf.DUMMYFUNCTION("IMPORTRANGE(""https://docs.google.com/spreadsheets/d/1IYY_tgx_IHuhSq3AJ5eI5OnqOPBNLWSHKh2a30DoXe8/edit?usp=sharing"",""พัทลุง!M430"")"),22310)</f>
        <v>22310</v>
      </c>
      <c r="O535" s="175">
        <f t="shared" ca="1" si="117"/>
        <v>68.351715686274517</v>
      </c>
      <c r="P535" s="175"/>
    </row>
    <row r="536" spans="1:16" ht="21.75" customHeight="1" x14ac:dyDescent="0.35">
      <c r="A536" s="162"/>
      <c r="B536" s="163"/>
      <c r="C536" s="163"/>
      <c r="D536" s="170"/>
      <c r="E536" s="171"/>
      <c r="F536" s="171"/>
      <c r="G536" s="380" t="s">
        <v>129</v>
      </c>
      <c r="H536" s="165" t="s">
        <v>12</v>
      </c>
      <c r="I536" s="166"/>
      <c r="J536" s="166"/>
      <c r="K536" s="167"/>
      <c r="L536" s="175">
        <f ca="1">IFERROR(__xludf.DUMMYFUNCTION("IMPORTRANGE(""https://docs.google.com/spreadsheets/d/1IYY_tgx_IHuhSq3AJ5eI5OnqOPBNLWSHKh2a30DoXe8/edit?usp=sharing"",""พัทลุง!L431"")"),0)</f>
        <v>0</v>
      </c>
      <c r="M536" s="175"/>
      <c r="N536" s="175">
        <f ca="1">IFERROR(__xludf.DUMMYFUNCTION("IMPORTRANGE(""https://docs.google.com/spreadsheets/d/1IYY_tgx_IHuhSq3AJ5eI5OnqOPBNLWSHKh2a30DoXe8/edit?usp=sharing"",""พัทลุง!M431"")"),0)</f>
        <v>0</v>
      </c>
      <c r="O536" s="175">
        <f t="shared" ca="1" si="117"/>
        <v>0</v>
      </c>
      <c r="P536" s="175"/>
    </row>
    <row r="537" spans="1:16" ht="21.75" customHeight="1" x14ac:dyDescent="0.35">
      <c r="A537" s="162"/>
      <c r="B537" s="163"/>
      <c r="C537" s="163"/>
      <c r="D537" s="170"/>
      <c r="E537" s="171"/>
      <c r="F537" s="171"/>
      <c r="G537" s="380" t="s">
        <v>130</v>
      </c>
      <c r="H537" s="165" t="s">
        <v>12</v>
      </c>
      <c r="I537" s="166"/>
      <c r="J537" s="166"/>
      <c r="K537" s="167"/>
      <c r="L537" s="175">
        <f ca="1">IFERROR(__xludf.DUMMYFUNCTION("IMPORTRANGE(""https://docs.google.com/spreadsheets/d/1IYY_tgx_IHuhSq3AJ5eI5OnqOPBNLWSHKh2a30DoXe8/edit?usp=sharing"",""พัทลุง!L432"")"),32640)</f>
        <v>32640</v>
      </c>
      <c r="M537" s="175"/>
      <c r="N537" s="175">
        <f ca="1">IFERROR(__xludf.DUMMYFUNCTION("IMPORTRANGE(""https://docs.google.com/spreadsheets/d/1IYY_tgx_IHuhSq3AJ5eI5OnqOPBNLWSHKh2a30DoXe8/edit?usp=sharing"",""พัทลุง!M432"")"),22310)</f>
        <v>22310</v>
      </c>
      <c r="O537" s="175">
        <f t="shared" ca="1" si="117"/>
        <v>68.351715686274517</v>
      </c>
      <c r="P537" s="175"/>
    </row>
    <row r="538" spans="1:16" ht="21.75" customHeight="1" x14ac:dyDescent="0.35">
      <c r="A538" s="381"/>
      <c r="B538" s="382"/>
      <c r="C538" s="163"/>
      <c r="D538" s="383"/>
      <c r="E538" s="171"/>
      <c r="F538" s="171"/>
      <c r="G538" s="384" t="s">
        <v>131</v>
      </c>
      <c r="H538" s="165" t="s">
        <v>12</v>
      </c>
      <c r="I538" s="194"/>
      <c r="J538" s="194"/>
      <c r="K538" s="230"/>
      <c r="L538" s="175"/>
      <c r="M538" s="175"/>
      <c r="N538" s="385">
        <f ca="1">IFERROR(__xludf.DUMMYFUNCTION("IMPORTRANGE(""https://docs.google.com/spreadsheets/d/1IYY_tgx_IHuhSq3AJ5eI5OnqOPBNLWSHKh2a30DoXe8/edit?usp=sharing"",""พัทลุง!M433"")"),14560)</f>
        <v>14560</v>
      </c>
      <c r="O538" s="175"/>
      <c r="P538" s="175"/>
    </row>
    <row r="539" spans="1:16" ht="21.75" customHeight="1" x14ac:dyDescent="0.35">
      <c r="A539" s="381"/>
      <c r="B539" s="382"/>
      <c r="C539" s="163"/>
      <c r="D539" s="383"/>
      <c r="E539" s="171"/>
      <c r="F539" s="171"/>
      <c r="G539" s="384" t="s">
        <v>132</v>
      </c>
      <c r="H539" s="165" t="s">
        <v>12</v>
      </c>
      <c r="I539" s="194"/>
      <c r="J539" s="194"/>
      <c r="K539" s="230"/>
      <c r="L539" s="175"/>
      <c r="M539" s="175"/>
      <c r="N539" s="385">
        <f ca="1">IFERROR(__xludf.DUMMYFUNCTION("IMPORTRANGE(""https://docs.google.com/spreadsheets/d/1IYY_tgx_IHuhSq3AJ5eI5OnqOPBNLWSHKh2a30DoXe8/edit?usp=sharing"",""พัทลุง!M434"")"),0)</f>
        <v>0</v>
      </c>
      <c r="O539" s="175"/>
      <c r="P539" s="175"/>
    </row>
    <row r="540" spans="1:16" ht="21.75" customHeight="1" x14ac:dyDescent="0.35">
      <c r="A540" s="381"/>
      <c r="B540" s="382"/>
      <c r="C540" s="163"/>
      <c r="D540" s="383"/>
      <c r="E540" s="171"/>
      <c r="F540" s="171"/>
      <c r="G540" s="384" t="s">
        <v>133</v>
      </c>
      <c r="H540" s="165" t="s">
        <v>12</v>
      </c>
      <c r="I540" s="194"/>
      <c r="J540" s="194"/>
      <c r="K540" s="230"/>
      <c r="L540" s="175"/>
      <c r="M540" s="175"/>
      <c r="N540" s="385">
        <f ca="1">IFERROR(__xludf.DUMMYFUNCTION("IMPORTRANGE(""https://docs.google.com/spreadsheets/d/1IYY_tgx_IHuhSq3AJ5eI5OnqOPBNLWSHKh2a30DoXe8/edit?usp=sharing"",""พัทลุง!M435"")"),0)</f>
        <v>0</v>
      </c>
      <c r="O540" s="175"/>
      <c r="P540" s="175"/>
    </row>
    <row r="541" spans="1:16" ht="21.75" customHeight="1" x14ac:dyDescent="0.35">
      <c r="A541" s="381"/>
      <c r="B541" s="382"/>
      <c r="C541" s="163"/>
      <c r="D541" s="383"/>
      <c r="E541" s="171"/>
      <c r="F541" s="171"/>
      <c r="G541" s="384" t="s">
        <v>134</v>
      </c>
      <c r="H541" s="165" t="s">
        <v>12</v>
      </c>
      <c r="I541" s="194"/>
      <c r="J541" s="194"/>
      <c r="K541" s="230"/>
      <c r="L541" s="175"/>
      <c r="M541" s="175"/>
      <c r="N541" s="385">
        <f ca="1">IFERROR(__xludf.DUMMYFUNCTION("IMPORTRANGE(""https://docs.google.com/spreadsheets/d/1IYY_tgx_IHuhSq3AJ5eI5OnqOPBNLWSHKh2a30DoXe8/edit?usp=sharing"",""พัทลุง!M436"")"),7750)</f>
        <v>7750</v>
      </c>
      <c r="O541" s="175"/>
      <c r="P541" s="175"/>
    </row>
    <row r="542" spans="1:16" ht="21.75" customHeight="1" x14ac:dyDescent="0.35">
      <c r="A542" s="182"/>
      <c r="B542" s="183"/>
      <c r="C542" s="163" t="s">
        <v>16</v>
      </c>
      <c r="D542" s="184" t="s">
        <v>43</v>
      </c>
      <c r="E542" s="185"/>
      <c r="F542" s="185"/>
      <c r="G542" s="186"/>
      <c r="H542" s="187"/>
      <c r="I542" s="166"/>
      <c r="J542" s="166"/>
      <c r="K542" s="167"/>
      <c r="L542" s="188"/>
      <c r="M542" s="188"/>
      <c r="N542" s="188"/>
      <c r="O542" s="188"/>
      <c r="P542" s="188"/>
    </row>
    <row r="543" spans="1:16" ht="21.75" customHeight="1" x14ac:dyDescent="0.35">
      <c r="A543" s="182"/>
      <c r="B543" s="183"/>
      <c r="C543" s="183"/>
      <c r="D543" s="189">
        <v>1</v>
      </c>
      <c r="E543" s="190" t="s">
        <v>44</v>
      </c>
      <c r="F543" s="191"/>
      <c r="G543" s="192"/>
      <c r="H543" s="193"/>
      <c r="I543" s="194"/>
      <c r="J543" s="204">
        <f ca="1">IFERROR(__xludf.DUMMYFUNCTION("IMPORTRANGE(""https://docs.google.com/spreadsheets/d/1IYY_tgx_IHuhSq3AJ5eI5OnqOPBNLWSHKh2a30DoXe8/edit?usp=sharing"",""พัทลุง!J438"")"),0)</f>
        <v>0</v>
      </c>
      <c r="K543" s="167"/>
      <c r="L543" s="188"/>
      <c r="M543" s="188"/>
      <c r="N543" s="188"/>
      <c r="O543" s="188"/>
      <c r="P543" s="188"/>
    </row>
    <row r="544" spans="1:16" ht="21.75" customHeight="1" x14ac:dyDescent="0.35">
      <c r="A544" s="182"/>
      <c r="B544" s="183"/>
      <c r="C544" s="183"/>
      <c r="D544" s="196">
        <v>2</v>
      </c>
      <c r="E544" s="197" t="s">
        <v>45</v>
      </c>
      <c r="F544" s="198"/>
      <c r="G544" s="199"/>
      <c r="H544" s="193"/>
      <c r="I544" s="194"/>
      <c r="J544" s="195">
        <f ca="1">IFERROR(__xludf.DUMMYFUNCTION("IMPORTRANGE(""https://docs.google.com/spreadsheets/d/1IYY_tgx_IHuhSq3AJ5eI5OnqOPBNLWSHKh2a30DoXe8/edit?usp=sharing"",""พัทลุง!J439"")"),1)</f>
        <v>1</v>
      </c>
      <c r="K544" s="167"/>
      <c r="L544" s="188" t="s">
        <v>39</v>
      </c>
      <c r="M544" s="188"/>
      <c r="N544" s="188" t="s">
        <v>39</v>
      </c>
      <c r="O544" s="188"/>
      <c r="P544" s="188"/>
    </row>
    <row r="545" spans="1:16" ht="21.75" customHeight="1" x14ac:dyDescent="0.35">
      <c r="A545" s="182"/>
      <c r="B545" s="183"/>
      <c r="C545" s="183"/>
      <c r="D545" s="200"/>
      <c r="E545" s="201" t="s">
        <v>46</v>
      </c>
      <c r="F545" s="202"/>
      <c r="G545" s="203"/>
      <c r="H545" s="193"/>
      <c r="I545" s="194"/>
      <c r="J545" s="195">
        <f ca="1">IFERROR(__xludf.DUMMYFUNCTION("IMPORTRANGE(""https://docs.google.com/spreadsheets/d/1IYY_tgx_IHuhSq3AJ5eI5OnqOPBNLWSHKh2a30DoXe8/edit?usp=sharing"",""พัทลุง!J440"")"),1)</f>
        <v>1</v>
      </c>
      <c r="K545" s="167"/>
      <c r="L545" s="188"/>
      <c r="M545" s="188"/>
      <c r="N545" s="188"/>
      <c r="O545" s="188"/>
      <c r="P545" s="188"/>
    </row>
    <row r="546" spans="1:16" ht="21.75" customHeight="1" x14ac:dyDescent="0.35">
      <c r="A546" s="182"/>
      <c r="B546" s="183"/>
      <c r="C546" s="183"/>
      <c r="D546" s="200"/>
      <c r="E546" s="201" t="s">
        <v>47</v>
      </c>
      <c r="F546" s="202"/>
      <c r="G546" s="203"/>
      <c r="H546" s="193"/>
      <c r="I546" s="194"/>
      <c r="J546" s="204">
        <f ca="1">IFERROR(__xludf.DUMMYFUNCTION("IMPORTRANGE(""https://docs.google.com/spreadsheets/d/1IYY_tgx_IHuhSq3AJ5eI5OnqOPBNLWSHKh2a30DoXe8/edit?usp=sharing"",""พัทลุง!J441"")"),1)</f>
        <v>1</v>
      </c>
      <c r="K546" s="167"/>
      <c r="L546" s="188"/>
      <c r="M546" s="188"/>
      <c r="N546" s="188"/>
      <c r="O546" s="188"/>
      <c r="P546" s="188"/>
    </row>
    <row r="547" spans="1:16" ht="21.75" customHeight="1" x14ac:dyDescent="0.35">
      <c r="A547" s="182"/>
      <c r="B547" s="183"/>
      <c r="C547" s="183"/>
      <c r="D547" s="200"/>
      <c r="E547" s="205"/>
      <c r="F547" s="202"/>
      <c r="G547" s="232" t="s">
        <v>203</v>
      </c>
      <c r="H547" s="193" t="s">
        <v>37</v>
      </c>
      <c r="I547" s="210">
        <f ca="1">IFERROR(__xludf.DUMMYFUNCTION("IMPORTRANGE(""https://docs.google.com/spreadsheets/d/1IYY_tgx_IHuhSq3AJ5eI5OnqOPBNLWSHKh2a30DoXe8/edit?usp=sharing"",""พัทลุง!I442"")"),20)</f>
        <v>20</v>
      </c>
      <c r="J547" s="195">
        <f ca="1">IFERROR(__xludf.DUMMYFUNCTION("IMPORTRANGE(""https://docs.google.com/spreadsheets/d/1IYY_tgx_IHuhSq3AJ5eI5OnqOPBNLWSHKh2a30DoXe8/edit?usp=sharing"",""พัทลุง!J442"")"),20)</f>
        <v>20</v>
      </c>
      <c r="K547" s="167">
        <f t="shared" ref="K547:K548" ca="1" si="118">IF(I547&gt;0,J547*100/I547,0)</f>
        <v>100</v>
      </c>
      <c r="L547" s="188"/>
      <c r="M547" s="188"/>
      <c r="N547" s="188"/>
      <c r="O547" s="188"/>
      <c r="P547" s="188"/>
    </row>
    <row r="548" spans="1:16" ht="21.75" hidden="1" customHeight="1" x14ac:dyDescent="0.35">
      <c r="A548" s="182"/>
      <c r="B548" s="183"/>
      <c r="C548" s="183"/>
      <c r="D548" s="200"/>
      <c r="E548" s="205"/>
      <c r="F548" s="202"/>
      <c r="G548" s="232" t="s">
        <v>204</v>
      </c>
      <c r="H548" s="193" t="s">
        <v>37</v>
      </c>
      <c r="I548" s="347">
        <f ca="1">IFERROR(__xludf.DUMMYFUNCTION("IMPORTRANGE(""https://docs.google.com/spreadsheets/d/1C3CXT74ZlgGe6_JY_1olB1XN4rF0dxEuIIF-xsYjHgg/edit?usp=sharing"",""งบกองทุน!dr63"")"),0)</f>
        <v>0</v>
      </c>
      <c r="J548" s="204">
        <f ca="1">IFERROR(__xludf.DUMMYFUNCTION("IMPORTRANGE(""https://docs.google.com/spreadsheets/d/1IYY_tgx_IHuhSq3AJ5eI5OnqOPBNLWSHKh2a30DoXe8/edit?usp=sharing"",""พัทลุง!J166"")"),0)</f>
        <v>0</v>
      </c>
      <c r="K548" s="167">
        <f t="shared" ca="1" si="118"/>
        <v>0</v>
      </c>
      <c r="L548" s="188"/>
      <c r="M548" s="188"/>
      <c r="N548" s="188"/>
      <c r="O548" s="188"/>
      <c r="P548" s="188"/>
    </row>
    <row r="549" spans="1:16" ht="21.75" customHeight="1" x14ac:dyDescent="0.35">
      <c r="A549" s="182"/>
      <c r="B549" s="183"/>
      <c r="C549" s="183"/>
      <c r="D549" s="200"/>
      <c r="E549" s="201" t="s">
        <v>53</v>
      </c>
      <c r="F549" s="202"/>
      <c r="G549" s="203"/>
      <c r="H549" s="193"/>
      <c r="I549" s="194"/>
      <c r="J549" s="204">
        <f ca="1">IFERROR(__xludf.DUMMYFUNCTION("IMPORTRANGE(""https://docs.google.com/spreadsheets/d/1IYY_tgx_IHuhSq3AJ5eI5OnqOPBNLWSHKh2a30DoXe8/edit?usp=sharing"",""พัทลุง!J444"")"),0)</f>
        <v>0</v>
      </c>
      <c r="K549" s="167"/>
      <c r="L549" s="188"/>
      <c r="M549" s="188"/>
      <c r="N549" s="188"/>
      <c r="O549" s="188"/>
      <c r="P549" s="188"/>
    </row>
    <row r="550" spans="1:16" ht="21.75" customHeight="1" x14ac:dyDescent="0.35">
      <c r="A550" s="465"/>
      <c r="B550" s="466"/>
      <c r="C550" s="466"/>
      <c r="D550" s="475">
        <v>3</v>
      </c>
      <c r="E550" s="476" t="s">
        <v>54</v>
      </c>
      <c r="F550" s="477"/>
      <c r="G550" s="478"/>
      <c r="H550" s="479"/>
      <c r="I550" s="471"/>
      <c r="J550" s="480">
        <f ca="1">IFERROR(__xludf.DUMMYFUNCTION("IMPORTRANGE(""https://docs.google.com/spreadsheets/d/1IYY_tgx_IHuhSq3AJ5eI5OnqOPBNLWSHKh2a30DoXe8/edit?usp=sharing"",""พัทลุง!J445"")"),0)</f>
        <v>0</v>
      </c>
      <c r="K550" s="473"/>
      <c r="L550" s="474"/>
      <c r="M550" s="474"/>
      <c r="N550" s="474"/>
      <c r="O550" s="474"/>
      <c r="P550" s="474"/>
    </row>
    <row r="551" spans="1:16" ht="21.75" customHeight="1" x14ac:dyDescent="0.35">
      <c r="A551" s="411"/>
      <c r="B551" s="412">
        <v>7</v>
      </c>
      <c r="C551" s="413" t="s">
        <v>205</v>
      </c>
      <c r="D551" s="413"/>
      <c r="E551" s="413"/>
      <c r="F551" s="413"/>
      <c r="G551" s="414"/>
      <c r="H551" s="415" t="s">
        <v>122</v>
      </c>
      <c r="I551" s="416">
        <f ca="1">IFERROR(__xludf.DUMMYFUNCTION("IMPORTRANGE(""https://docs.google.com/spreadsheets/d/1IYY_tgx_IHuhSq3AJ5eI5OnqOPBNLWSHKh2a30DoXe8/edit?usp=sharing"",""พัทลุง!I446"")"),0)</f>
        <v>0</v>
      </c>
      <c r="J551" s="416">
        <f ca="1">IFERROR(__xludf.DUMMYFUNCTION("IMPORTRANGE(""https://docs.google.com/spreadsheets/d/1IYY_tgx_IHuhSq3AJ5eI5OnqOPBNLWSHKh2a30DoXe8/edit?usp=sharing"",""พัทลุง!J446"")"),0)</f>
        <v>0</v>
      </c>
      <c r="K551" s="417">
        <f ca="1">IF(I551&gt;0,J551*100/I551,0)</f>
        <v>0</v>
      </c>
      <c r="L551" s="418">
        <f ca="1">IFERROR(__xludf.DUMMYFUNCTION("IMPORTRANGE(""https://docs.google.com/spreadsheets/d/1IYY_tgx_IHuhSq3AJ5eI5OnqOPBNLWSHKh2a30DoXe8/edit?usp=sharing"",""พัทลุง!L446"")"),0)</f>
        <v>0</v>
      </c>
      <c r="M551" s="418"/>
      <c r="N551" s="418">
        <f ca="1">IFERROR(__xludf.DUMMYFUNCTION("IMPORTRANGE(""https://docs.google.com/spreadsheets/d/1IYY_tgx_IHuhSq3AJ5eI5OnqOPBNLWSHKh2a30DoXe8/edit?usp=sharing"",""พัทลุง!M446"")"),0)</f>
        <v>0</v>
      </c>
      <c r="O551" s="418">
        <f t="shared" ref="O551:O555" ca="1" si="119">+IF(L551&gt;0,N551*100/L551,0)</f>
        <v>0</v>
      </c>
      <c r="P551" s="418"/>
    </row>
    <row r="552" spans="1:16" ht="21.75" customHeight="1" x14ac:dyDescent="0.35">
      <c r="A552" s="162"/>
      <c r="B552" s="163"/>
      <c r="C552" s="163" t="s">
        <v>16</v>
      </c>
      <c r="D552" s="284" t="s">
        <v>77</v>
      </c>
      <c r="E552" s="171"/>
      <c r="F552" s="171"/>
      <c r="G552" s="164" t="s">
        <v>38</v>
      </c>
      <c r="H552" s="165" t="s">
        <v>12</v>
      </c>
      <c r="I552" s="166" t="s">
        <v>39</v>
      </c>
      <c r="J552" s="166"/>
      <c r="K552" s="167"/>
      <c r="L552" s="168">
        <f ca="1">IFERROR(__xludf.DUMMYFUNCTION("IMPORTRANGE(""https://docs.google.com/spreadsheets/d/1IYY_tgx_IHuhSq3AJ5eI5OnqOPBNLWSHKh2a30DoXe8/edit?usp=sharing"",""พัทลุง!L447"")"),0)</f>
        <v>0</v>
      </c>
      <c r="M552" s="168"/>
      <c r="N552" s="175">
        <f ca="1">IFERROR(__xludf.DUMMYFUNCTION("IMPORTRANGE(""https://docs.google.com/spreadsheets/d/1IYY_tgx_IHuhSq3AJ5eI5OnqOPBNLWSHKh2a30DoXe8/edit?usp=sharing"",""พัทลุง!M447"")"),0)</f>
        <v>0</v>
      </c>
      <c r="O552" s="175">
        <f t="shared" ca="1" si="119"/>
        <v>0</v>
      </c>
      <c r="P552" s="175"/>
    </row>
    <row r="553" spans="1:16" ht="21.75" customHeight="1" x14ac:dyDescent="0.35">
      <c r="A553" s="162"/>
      <c r="B553" s="163"/>
      <c r="C553" s="163"/>
      <c r="D553" s="170"/>
      <c r="E553" s="171"/>
      <c r="F553" s="171" t="s">
        <v>39</v>
      </c>
      <c r="G553" s="164" t="s">
        <v>40</v>
      </c>
      <c r="H553" s="165" t="s">
        <v>12</v>
      </c>
      <c r="I553" s="166"/>
      <c r="J553" s="166"/>
      <c r="K553" s="167"/>
      <c r="L553" s="169">
        <f ca="1">IFERROR(__xludf.DUMMYFUNCTION("IMPORTRANGE(""https://docs.google.com/spreadsheets/d/1IYY_tgx_IHuhSq3AJ5eI5OnqOPBNLWSHKh2a30DoXe8/edit?usp=sharing"",""พัทลุง!L448"")"),0)</f>
        <v>0</v>
      </c>
      <c r="M553" s="169"/>
      <c r="N553" s="175">
        <f ca="1">IFERROR(__xludf.DUMMYFUNCTION("IMPORTRANGE(""https://docs.google.com/spreadsheets/d/1IYY_tgx_IHuhSq3AJ5eI5OnqOPBNLWSHKh2a30DoXe8/edit?usp=sharing"",""พัทลุง!M448"")"),0)</f>
        <v>0</v>
      </c>
      <c r="O553" s="175">
        <f t="shared" ca="1" si="119"/>
        <v>0</v>
      </c>
      <c r="P553" s="175"/>
    </row>
    <row r="554" spans="1:16" ht="21.75" customHeight="1" x14ac:dyDescent="0.35">
      <c r="A554" s="162"/>
      <c r="B554" s="163"/>
      <c r="C554" s="163"/>
      <c r="D554" s="170"/>
      <c r="E554" s="171"/>
      <c r="F554" s="171"/>
      <c r="G554" s="380" t="s">
        <v>129</v>
      </c>
      <c r="H554" s="165" t="s">
        <v>12</v>
      </c>
      <c r="I554" s="166"/>
      <c r="J554" s="166"/>
      <c r="K554" s="167"/>
      <c r="L554" s="175">
        <f ca="1">IFERROR(__xludf.DUMMYFUNCTION("IMPORTRANGE(""https://docs.google.com/spreadsheets/d/1IYY_tgx_IHuhSq3AJ5eI5OnqOPBNLWSHKh2a30DoXe8/edit?usp=sharing"",""พัทลุง!L449"")"),0)</f>
        <v>0</v>
      </c>
      <c r="M554" s="175"/>
      <c r="N554" s="175">
        <f ca="1">IFERROR(__xludf.DUMMYFUNCTION("IMPORTRANGE(""https://docs.google.com/spreadsheets/d/1IYY_tgx_IHuhSq3AJ5eI5OnqOPBNLWSHKh2a30DoXe8/edit?usp=sharing"",""พัทลุง!M449"")"),0)</f>
        <v>0</v>
      </c>
      <c r="O554" s="175">
        <f t="shared" ca="1" si="119"/>
        <v>0</v>
      </c>
      <c r="P554" s="175"/>
    </row>
    <row r="555" spans="1:16" ht="21.75" customHeight="1" x14ac:dyDescent="0.35">
      <c r="A555" s="162"/>
      <c r="B555" s="163"/>
      <c r="C555" s="163"/>
      <c r="D555" s="170"/>
      <c r="E555" s="171"/>
      <c r="F555" s="171"/>
      <c r="G555" s="380" t="s">
        <v>130</v>
      </c>
      <c r="H555" s="165" t="s">
        <v>12</v>
      </c>
      <c r="I555" s="166"/>
      <c r="J555" s="166"/>
      <c r="K555" s="167"/>
      <c r="L555" s="175">
        <f ca="1">IFERROR(__xludf.DUMMYFUNCTION("IMPORTRANGE(""https://docs.google.com/spreadsheets/d/1IYY_tgx_IHuhSq3AJ5eI5OnqOPBNLWSHKh2a30DoXe8/edit?usp=sharing"",""พัทลุง!L450"")"),0)</f>
        <v>0</v>
      </c>
      <c r="M555" s="175"/>
      <c r="N555" s="175">
        <f ca="1">IFERROR(__xludf.DUMMYFUNCTION("IMPORTRANGE(""https://docs.google.com/spreadsheets/d/1IYY_tgx_IHuhSq3AJ5eI5OnqOPBNLWSHKh2a30DoXe8/edit?usp=sharing"",""พัทลุง!M450"")"),0)</f>
        <v>0</v>
      </c>
      <c r="O555" s="175">
        <f t="shared" ca="1" si="119"/>
        <v>0</v>
      </c>
      <c r="P555" s="175"/>
    </row>
    <row r="556" spans="1:16" ht="21.75" customHeight="1" x14ac:dyDescent="0.35">
      <c r="A556" s="381"/>
      <c r="B556" s="382"/>
      <c r="C556" s="163"/>
      <c r="D556" s="383"/>
      <c r="E556" s="171"/>
      <c r="F556" s="171"/>
      <c r="G556" s="384" t="s">
        <v>131</v>
      </c>
      <c r="H556" s="165" t="s">
        <v>12</v>
      </c>
      <c r="I556" s="194"/>
      <c r="J556" s="194"/>
      <c r="K556" s="230"/>
      <c r="L556" s="175"/>
      <c r="M556" s="175"/>
      <c r="N556" s="172">
        <f ca="1">IFERROR(__xludf.DUMMYFUNCTION("IMPORTRANGE(""https://docs.google.com/spreadsheets/d/1IYY_tgx_IHuhSq3AJ5eI5OnqOPBNLWSHKh2a30DoXe8/edit?usp=sharing"",""พัทลุง!M451"")"),0)</f>
        <v>0</v>
      </c>
      <c r="O556" s="175"/>
      <c r="P556" s="175"/>
    </row>
    <row r="557" spans="1:16" ht="21.75" customHeight="1" x14ac:dyDescent="0.35">
      <c r="A557" s="381"/>
      <c r="B557" s="382"/>
      <c r="C557" s="163"/>
      <c r="D557" s="383"/>
      <c r="E557" s="171"/>
      <c r="F557" s="171"/>
      <c r="G557" s="384" t="s">
        <v>132</v>
      </c>
      <c r="H557" s="165" t="s">
        <v>12</v>
      </c>
      <c r="I557" s="194"/>
      <c r="J557" s="194"/>
      <c r="K557" s="230"/>
      <c r="L557" s="175"/>
      <c r="M557" s="175"/>
      <c r="N557" s="172">
        <f ca="1">IFERROR(__xludf.DUMMYFUNCTION("IMPORTRANGE(""https://docs.google.com/spreadsheets/d/1IYY_tgx_IHuhSq3AJ5eI5OnqOPBNLWSHKh2a30DoXe8/edit?usp=sharing"",""พัทลุง!M452"")"),0)</f>
        <v>0</v>
      </c>
      <c r="O557" s="175"/>
      <c r="P557" s="175"/>
    </row>
    <row r="558" spans="1:16" ht="21.75" customHeight="1" x14ac:dyDescent="0.35">
      <c r="A558" s="381"/>
      <c r="B558" s="382"/>
      <c r="C558" s="163"/>
      <c r="D558" s="383"/>
      <c r="E558" s="171"/>
      <c r="F558" s="171"/>
      <c r="G558" s="384" t="s">
        <v>133</v>
      </c>
      <c r="H558" s="165" t="s">
        <v>12</v>
      </c>
      <c r="I558" s="194"/>
      <c r="J558" s="194"/>
      <c r="K558" s="230"/>
      <c r="L558" s="175"/>
      <c r="M558" s="175"/>
      <c r="N558" s="172">
        <f ca="1">IFERROR(__xludf.DUMMYFUNCTION("IMPORTRANGE(""https://docs.google.com/spreadsheets/d/1IYY_tgx_IHuhSq3AJ5eI5OnqOPBNLWSHKh2a30DoXe8/edit?usp=sharing"",""พัทลุง!M453"")"),0)</f>
        <v>0</v>
      </c>
      <c r="O558" s="175"/>
      <c r="P558" s="175"/>
    </row>
    <row r="559" spans="1:16" ht="21.75" customHeight="1" x14ac:dyDescent="0.35">
      <c r="A559" s="381"/>
      <c r="B559" s="382"/>
      <c r="C559" s="163"/>
      <c r="D559" s="383"/>
      <c r="E559" s="171"/>
      <c r="F559" s="171"/>
      <c r="G559" s="384" t="s">
        <v>134</v>
      </c>
      <c r="H559" s="165" t="s">
        <v>12</v>
      </c>
      <c r="I559" s="194"/>
      <c r="J559" s="194"/>
      <c r="K559" s="230"/>
      <c r="L559" s="175"/>
      <c r="M559" s="175"/>
      <c r="N559" s="172">
        <f ca="1">IFERROR(__xludf.DUMMYFUNCTION("IMPORTRANGE(""https://docs.google.com/spreadsheets/d/1IYY_tgx_IHuhSq3AJ5eI5OnqOPBNLWSHKh2a30DoXe8/edit?usp=sharing"",""พัทลุง!M454"")"),0)</f>
        <v>0</v>
      </c>
      <c r="O559" s="175"/>
      <c r="P559" s="175"/>
    </row>
    <row r="560" spans="1:16" ht="21.75" customHeight="1" x14ac:dyDescent="0.35">
      <c r="A560" s="182"/>
      <c r="B560" s="183"/>
      <c r="C560" s="183"/>
      <c r="D560" s="200"/>
      <c r="E560" s="202"/>
      <c r="F560" s="285" t="s">
        <v>206</v>
      </c>
      <c r="G560" s="203"/>
      <c r="H560" s="481" t="s">
        <v>122</v>
      </c>
      <c r="I560" s="166">
        <f ca="1">IFERROR(__xludf.DUMMYFUNCTION("IMPORTRANGE(""https://docs.google.com/spreadsheets/d/1IYY_tgx_IHuhSq3AJ5eI5OnqOPBNLWSHKh2a30DoXe8/edit?usp=sharing"",""พัทลุง!I455"")"),0)</f>
        <v>0</v>
      </c>
      <c r="J560" s="166">
        <f ca="1">IFERROR(__xludf.DUMMYFUNCTION("IMPORTRANGE(""https://docs.google.com/spreadsheets/d/1IYY_tgx_IHuhSq3AJ5eI5OnqOPBNLWSHKh2a30DoXe8/edit?usp=sharing"",""พัทลุง!J455"")"),0)</f>
        <v>0</v>
      </c>
      <c r="K560" s="230">
        <f t="shared" ref="K560:K561" ca="1" si="120">IF(I560&gt;0,J560*100/I560,0)</f>
        <v>0</v>
      </c>
      <c r="L560" s="175"/>
      <c r="M560" s="175"/>
      <c r="N560" s="175"/>
      <c r="O560" s="188"/>
      <c r="P560" s="188"/>
    </row>
    <row r="561" spans="1:16" ht="21.75" customHeight="1" x14ac:dyDescent="0.35">
      <c r="A561" s="182"/>
      <c r="B561" s="183"/>
      <c r="C561" s="183"/>
      <c r="D561" s="200"/>
      <c r="E561" s="202"/>
      <c r="F561" s="202"/>
      <c r="G561" s="203"/>
      <c r="H561" s="481" t="s">
        <v>36</v>
      </c>
      <c r="I561" s="166">
        <f ca="1">IFERROR(__xludf.DUMMYFUNCTION("IMPORTRANGE(""https://docs.google.com/spreadsheets/d/1IYY_tgx_IHuhSq3AJ5eI5OnqOPBNLWSHKh2a30DoXe8/edit?usp=sharing"",""พัทลุง!I456"")"),0)</f>
        <v>0</v>
      </c>
      <c r="J561" s="210">
        <f ca="1">IFERROR(__xludf.DUMMYFUNCTION("IMPORTRANGE(""https://docs.google.com/spreadsheets/d/1IYY_tgx_IHuhSq3AJ5eI5OnqOPBNLWSHKh2a30DoXe8/edit?usp=sharing"",""พัทลุง!J456"")"),0)</f>
        <v>0</v>
      </c>
      <c r="K561" s="230">
        <f t="shared" ca="1" si="120"/>
        <v>0</v>
      </c>
      <c r="L561" s="175"/>
      <c r="M561" s="175"/>
      <c r="N561" s="175"/>
      <c r="O561" s="188"/>
      <c r="P561" s="188"/>
    </row>
    <row r="562" spans="1:16" ht="21.75" hidden="1" customHeight="1" x14ac:dyDescent="0.35">
      <c r="A562" s="182"/>
      <c r="B562" s="183"/>
      <c r="C562" s="183"/>
      <c r="D562" s="200"/>
      <c r="E562" s="202"/>
      <c r="F562" s="202" t="s">
        <v>207</v>
      </c>
      <c r="G562" s="203"/>
      <c r="H562" s="481" t="s">
        <v>122</v>
      </c>
      <c r="I562" s="166"/>
      <c r="J562" s="210"/>
      <c r="K562" s="167"/>
      <c r="L562" s="188"/>
      <c r="M562" s="188"/>
      <c r="N562" s="188"/>
      <c r="O562" s="188"/>
      <c r="P562" s="188"/>
    </row>
    <row r="563" spans="1:16" ht="21.75" hidden="1" customHeight="1" x14ac:dyDescent="0.35">
      <c r="A563" s="182"/>
      <c r="B563" s="183"/>
      <c r="C563" s="183"/>
      <c r="D563" s="200"/>
      <c r="E563" s="202"/>
      <c r="F563" s="202"/>
      <c r="G563" s="203"/>
      <c r="H563" s="481" t="s">
        <v>36</v>
      </c>
      <c r="I563" s="166"/>
      <c r="J563" s="194"/>
      <c r="K563" s="167"/>
      <c r="L563" s="188"/>
      <c r="M563" s="188"/>
      <c r="N563" s="188"/>
      <c r="O563" s="188"/>
      <c r="P563" s="188"/>
    </row>
    <row r="564" spans="1:16" ht="21.75" customHeight="1" x14ac:dyDescent="0.35">
      <c r="A564" s="372"/>
      <c r="B564" s="373">
        <v>8</v>
      </c>
      <c r="C564" s="374" t="s">
        <v>208</v>
      </c>
      <c r="D564" s="374"/>
      <c r="E564" s="374"/>
      <c r="F564" s="374"/>
      <c r="G564" s="375"/>
      <c r="H564" s="376" t="s">
        <v>37</v>
      </c>
      <c r="I564" s="377">
        <f ca="1">IFERROR(__xludf.DUMMYFUNCTION("IMPORTRANGE(""https://docs.google.com/spreadsheets/d/1IYY_tgx_IHuhSq3AJ5eI5OnqOPBNLWSHKh2a30DoXe8/edit?usp=sharing"",""พัทลุง!I459"")"),1150)</f>
        <v>1150</v>
      </c>
      <c r="J564" s="377">
        <f ca="1">IFERROR(__xludf.DUMMYFUNCTION("IMPORTRANGE(""https://docs.google.com/spreadsheets/d/1IYY_tgx_IHuhSq3AJ5eI5OnqOPBNLWSHKh2a30DoXe8/edit?usp=sharing"",""พัทลุง!J459"")"),1130)</f>
        <v>1130</v>
      </c>
      <c r="K564" s="378">
        <f ca="1">IF(I564&gt;0,J564*100/I564,0)</f>
        <v>98.260869565217391</v>
      </c>
      <c r="L564" s="379">
        <f ca="1">IFERROR(__xludf.DUMMYFUNCTION("IMPORTRANGE(""https://docs.google.com/spreadsheets/d/1IYY_tgx_IHuhSq3AJ5eI5OnqOPBNLWSHKh2a30DoXe8/edit?usp=sharing"",""พัทลุง!L459"")"),120320)</f>
        <v>120320</v>
      </c>
      <c r="M564" s="379"/>
      <c r="N564" s="379">
        <f ca="1">IFERROR(__xludf.DUMMYFUNCTION("IMPORTRANGE(""https://docs.google.com/spreadsheets/d/1IYY_tgx_IHuhSq3AJ5eI5OnqOPBNLWSHKh2a30DoXe8/edit?usp=sharing"",""พัทลุง!M459"")"),71677.84)</f>
        <v>71677.84</v>
      </c>
      <c r="O564" s="379">
        <f t="shared" ref="O564:O568" ca="1" si="121">+IF(L564&gt;0,N564*100/L564,0)</f>
        <v>59.572672872340426</v>
      </c>
      <c r="P564" s="379"/>
    </row>
    <row r="565" spans="1:16" ht="21.75" customHeight="1" x14ac:dyDescent="0.35">
      <c r="A565" s="162"/>
      <c r="B565" s="163"/>
      <c r="C565" s="163" t="s">
        <v>16</v>
      </c>
      <c r="D565" s="284" t="s">
        <v>77</v>
      </c>
      <c r="E565" s="171"/>
      <c r="F565" s="171"/>
      <c r="G565" s="164" t="s">
        <v>38</v>
      </c>
      <c r="H565" s="165" t="s">
        <v>12</v>
      </c>
      <c r="I565" s="166" t="s">
        <v>39</v>
      </c>
      <c r="J565" s="166"/>
      <c r="K565" s="167"/>
      <c r="L565" s="168">
        <f ca="1">IFERROR(__xludf.DUMMYFUNCTION("IMPORTRANGE(""https://docs.google.com/spreadsheets/d/1IYY_tgx_IHuhSq3AJ5eI5OnqOPBNLWSHKh2a30DoXe8/edit?usp=sharing"",""พัทลุง!L460"")"),0)</f>
        <v>0</v>
      </c>
      <c r="M565" s="168"/>
      <c r="N565" s="175">
        <f ca="1">IFERROR(__xludf.DUMMYFUNCTION("IMPORTRANGE(""https://docs.google.com/spreadsheets/d/1IYY_tgx_IHuhSq3AJ5eI5OnqOPBNLWSHKh2a30DoXe8/edit?usp=sharing"",""พัทลุง!M460"")"),0)</f>
        <v>0</v>
      </c>
      <c r="O565" s="175">
        <f t="shared" ca="1" si="121"/>
        <v>0</v>
      </c>
      <c r="P565" s="175"/>
    </row>
    <row r="566" spans="1:16" ht="21.75" customHeight="1" x14ac:dyDescent="0.35">
      <c r="A566" s="162"/>
      <c r="B566" s="163"/>
      <c r="C566" s="163"/>
      <c r="D566" s="170"/>
      <c r="E566" s="171"/>
      <c r="F566" s="171" t="s">
        <v>39</v>
      </c>
      <c r="G566" s="164" t="s">
        <v>40</v>
      </c>
      <c r="H566" s="165" t="s">
        <v>12</v>
      </c>
      <c r="I566" s="166"/>
      <c r="J566" s="166"/>
      <c r="K566" s="167"/>
      <c r="L566" s="169">
        <f ca="1">IFERROR(__xludf.DUMMYFUNCTION("IMPORTRANGE(""https://docs.google.com/spreadsheets/d/1IYY_tgx_IHuhSq3AJ5eI5OnqOPBNLWSHKh2a30DoXe8/edit?usp=sharing"",""พัทลุง!L461"")"),120320)</f>
        <v>120320</v>
      </c>
      <c r="M566" s="169"/>
      <c r="N566" s="175">
        <f ca="1">IFERROR(__xludf.DUMMYFUNCTION("IMPORTRANGE(""https://docs.google.com/spreadsheets/d/1IYY_tgx_IHuhSq3AJ5eI5OnqOPBNLWSHKh2a30DoXe8/edit?usp=sharing"",""พัทลุง!M461"")"),71677.84)</f>
        <v>71677.84</v>
      </c>
      <c r="O566" s="175">
        <f t="shared" ca="1" si="121"/>
        <v>59.572672872340426</v>
      </c>
      <c r="P566" s="175"/>
    </row>
    <row r="567" spans="1:16" ht="21.75" customHeight="1" x14ac:dyDescent="0.35">
      <c r="A567" s="162"/>
      <c r="B567" s="163"/>
      <c r="C567" s="163"/>
      <c r="D567" s="170"/>
      <c r="E567" s="171"/>
      <c r="F567" s="171"/>
      <c r="G567" s="380" t="s">
        <v>129</v>
      </c>
      <c r="H567" s="165" t="s">
        <v>12</v>
      </c>
      <c r="I567" s="166"/>
      <c r="J567" s="166"/>
      <c r="K567" s="167"/>
      <c r="L567" s="175">
        <f ca="1">IFERROR(__xludf.DUMMYFUNCTION("IMPORTRANGE(""https://docs.google.com/spreadsheets/d/1IYY_tgx_IHuhSq3AJ5eI5OnqOPBNLWSHKh2a30DoXe8/edit?usp=sharing"",""พัทลุง!L462"")"),0)</f>
        <v>0</v>
      </c>
      <c r="M567" s="175"/>
      <c r="N567" s="175">
        <f ca="1">IFERROR(__xludf.DUMMYFUNCTION("IMPORTRANGE(""https://docs.google.com/spreadsheets/d/1IYY_tgx_IHuhSq3AJ5eI5OnqOPBNLWSHKh2a30DoXe8/edit?usp=sharing"",""พัทลุง!M462"")"),0)</f>
        <v>0</v>
      </c>
      <c r="O567" s="175">
        <f t="shared" ca="1" si="121"/>
        <v>0</v>
      </c>
      <c r="P567" s="175"/>
    </row>
    <row r="568" spans="1:16" ht="21.75" customHeight="1" x14ac:dyDescent="0.35">
      <c r="A568" s="162"/>
      <c r="B568" s="163"/>
      <c r="C568" s="163"/>
      <c r="D568" s="170"/>
      <c r="E568" s="171"/>
      <c r="F568" s="171"/>
      <c r="G568" s="380" t="s">
        <v>130</v>
      </c>
      <c r="H568" s="165" t="s">
        <v>12</v>
      </c>
      <c r="I568" s="166"/>
      <c r="J568" s="166"/>
      <c r="K568" s="167"/>
      <c r="L568" s="175">
        <f ca="1">IFERROR(__xludf.DUMMYFUNCTION("IMPORTRANGE(""https://docs.google.com/spreadsheets/d/1IYY_tgx_IHuhSq3AJ5eI5OnqOPBNLWSHKh2a30DoXe8/edit?usp=sharing"",""พัทลุง!L463"")"),120320)</f>
        <v>120320</v>
      </c>
      <c r="M568" s="175"/>
      <c r="N568" s="175">
        <f ca="1">IFERROR(__xludf.DUMMYFUNCTION("IMPORTRANGE(""https://docs.google.com/spreadsheets/d/1IYY_tgx_IHuhSq3AJ5eI5OnqOPBNLWSHKh2a30DoXe8/edit?usp=sharing"",""พัทลุง!M463"")"),71677.84)</f>
        <v>71677.84</v>
      </c>
      <c r="O568" s="175">
        <f t="shared" ca="1" si="121"/>
        <v>59.572672872340426</v>
      </c>
      <c r="P568" s="175"/>
    </row>
    <row r="569" spans="1:16" ht="21.75" customHeight="1" x14ac:dyDescent="0.35">
      <c r="A569" s="381"/>
      <c r="B569" s="382"/>
      <c r="C569" s="163"/>
      <c r="D569" s="383"/>
      <c r="E569" s="171"/>
      <c r="F569" s="171"/>
      <c r="G569" s="384" t="s">
        <v>131</v>
      </c>
      <c r="H569" s="165" t="s">
        <v>12</v>
      </c>
      <c r="I569" s="194"/>
      <c r="J569" s="194"/>
      <c r="K569" s="230"/>
      <c r="L569" s="175"/>
      <c r="M569" s="175"/>
      <c r="N569" s="172">
        <f ca="1">IFERROR(__xludf.DUMMYFUNCTION("IMPORTRANGE(""https://docs.google.com/spreadsheets/d/1IYY_tgx_IHuhSq3AJ5eI5OnqOPBNLWSHKh2a30DoXe8/edit?usp=sharing"",""พัทลุง!M464"")"),0)</f>
        <v>0</v>
      </c>
      <c r="O569" s="175"/>
      <c r="P569" s="175"/>
    </row>
    <row r="570" spans="1:16" ht="21.75" customHeight="1" x14ac:dyDescent="0.35">
      <c r="A570" s="381"/>
      <c r="B570" s="382"/>
      <c r="C570" s="163"/>
      <c r="D570" s="383"/>
      <c r="E570" s="171"/>
      <c r="F570" s="171"/>
      <c r="G570" s="384" t="s">
        <v>132</v>
      </c>
      <c r="H570" s="165" t="s">
        <v>12</v>
      </c>
      <c r="I570" s="194"/>
      <c r="J570" s="194"/>
      <c r="K570" s="230"/>
      <c r="L570" s="175"/>
      <c r="M570" s="175"/>
      <c r="N570" s="172">
        <f ca="1">IFERROR(__xludf.DUMMYFUNCTION("IMPORTRANGE(""https://docs.google.com/spreadsheets/d/1IYY_tgx_IHuhSq3AJ5eI5OnqOPBNLWSHKh2a30DoXe8/edit?usp=sharing"",""พัทลุง!M465"")"),0)</f>
        <v>0</v>
      </c>
      <c r="O570" s="175"/>
      <c r="P570" s="175"/>
    </row>
    <row r="571" spans="1:16" ht="21.75" customHeight="1" x14ac:dyDescent="0.35">
      <c r="A571" s="381"/>
      <c r="B571" s="382"/>
      <c r="C571" s="163"/>
      <c r="D571" s="383"/>
      <c r="E571" s="171"/>
      <c r="F571" s="171"/>
      <c r="G571" s="384" t="s">
        <v>133</v>
      </c>
      <c r="H571" s="165" t="s">
        <v>12</v>
      </c>
      <c r="I571" s="194"/>
      <c r="J571" s="194"/>
      <c r="K571" s="230"/>
      <c r="L571" s="175"/>
      <c r="M571" s="175"/>
      <c r="N571" s="385">
        <f ca="1">IFERROR(__xludf.DUMMYFUNCTION("IMPORTRANGE(""https://docs.google.com/spreadsheets/d/1IYY_tgx_IHuhSq3AJ5eI5OnqOPBNLWSHKh2a30DoXe8/edit?usp=sharing"",""พัทลุง!M466"")"),52137.84)</f>
        <v>52137.84</v>
      </c>
      <c r="O571" s="175"/>
      <c r="P571" s="175"/>
    </row>
    <row r="572" spans="1:16" ht="21.75" customHeight="1" x14ac:dyDescent="0.35">
      <c r="A572" s="381"/>
      <c r="B572" s="382"/>
      <c r="C572" s="163"/>
      <c r="D572" s="383"/>
      <c r="E572" s="171"/>
      <c r="F572" s="171"/>
      <c r="G572" s="384" t="s">
        <v>134</v>
      </c>
      <c r="H572" s="165" t="s">
        <v>12</v>
      </c>
      <c r="I572" s="194"/>
      <c r="J572" s="194"/>
      <c r="K572" s="230"/>
      <c r="L572" s="175"/>
      <c r="M572" s="175"/>
      <c r="N572" s="385">
        <f ca="1">IFERROR(__xludf.DUMMYFUNCTION("IMPORTRANGE(""https://docs.google.com/spreadsheets/d/1IYY_tgx_IHuhSq3AJ5eI5OnqOPBNLWSHKh2a30DoXe8/edit?usp=sharing"",""พัทลุง!M467"")"),19540)</f>
        <v>19540</v>
      </c>
      <c r="O572" s="175"/>
      <c r="P572" s="175"/>
    </row>
    <row r="573" spans="1:16" ht="21.75" customHeight="1" x14ac:dyDescent="0.35">
      <c r="A573" s="182"/>
      <c r="B573" s="183"/>
      <c r="C573" s="183"/>
      <c r="D573" s="202"/>
      <c r="E573" s="201" t="s">
        <v>39</v>
      </c>
      <c r="F573" s="420" t="s">
        <v>209</v>
      </c>
      <c r="G573" s="394"/>
      <c r="H573" s="482" t="s">
        <v>37</v>
      </c>
      <c r="I573" s="426">
        <f ca="1">IFERROR(__xludf.DUMMYFUNCTION("IMPORTRANGE(""https://docs.google.com/spreadsheets/d/1IYY_tgx_IHuhSq3AJ5eI5OnqOPBNLWSHKh2a30DoXe8/edit?usp=sharing"",""พัทลุง!I468"")"),1150)</f>
        <v>1150</v>
      </c>
      <c r="J573" s="426">
        <f ca="1">IFERROR(__xludf.DUMMYFUNCTION("IMPORTRANGE(""https://docs.google.com/spreadsheets/d/1IYY_tgx_IHuhSq3AJ5eI5OnqOPBNLWSHKh2a30DoXe8/edit?usp=sharing"",""พัทลุง!J468"")"),1130)</f>
        <v>1130</v>
      </c>
      <c r="K573" s="208">
        <f ca="1">IF(I573&gt;0,J573*100/I573,0)</f>
        <v>98.260869565217391</v>
      </c>
      <c r="L573" s="188"/>
      <c r="M573" s="188"/>
      <c r="N573" s="188"/>
      <c r="O573" s="188"/>
      <c r="P573" s="188"/>
    </row>
    <row r="574" spans="1:16" ht="21.75" customHeight="1" x14ac:dyDescent="0.35">
      <c r="A574" s="182"/>
      <c r="B574" s="183"/>
      <c r="C574" s="183"/>
      <c r="D574" s="202"/>
      <c r="E574" s="202"/>
      <c r="F574" s="201" t="s">
        <v>210</v>
      </c>
      <c r="G574" s="203"/>
      <c r="H574" s="481"/>
      <c r="I574" s="166"/>
      <c r="J574" s="166"/>
      <c r="K574" s="167"/>
      <c r="L574" s="188"/>
      <c r="M574" s="188"/>
      <c r="N574" s="188"/>
      <c r="O574" s="188"/>
      <c r="P574" s="188"/>
    </row>
    <row r="575" spans="1:16" ht="21.75" customHeight="1" x14ac:dyDescent="0.35">
      <c r="A575" s="182"/>
      <c r="B575" s="183"/>
      <c r="C575" s="183"/>
      <c r="D575" s="202"/>
      <c r="E575" s="201" t="s">
        <v>39</v>
      </c>
      <c r="F575" s="201" t="s">
        <v>211</v>
      </c>
      <c r="G575" s="203"/>
      <c r="H575" s="481" t="s">
        <v>76</v>
      </c>
      <c r="I575" s="209">
        <f ca="1">IFERROR(__xludf.DUMMYFUNCTION("IMPORTRANGE(""https://docs.google.com/spreadsheets/d/1IYY_tgx_IHuhSq3AJ5eI5OnqOPBNLWSHKh2a30DoXe8/edit?usp=sharing"",""พัทลุง!I470"")"),0)</f>
        <v>0</v>
      </c>
      <c r="J575" s="204">
        <f ca="1">IFERROR(__xludf.DUMMYFUNCTION("IMPORTRANGE(""https://docs.google.com/spreadsheets/d/1IYY_tgx_IHuhSq3AJ5eI5OnqOPBNLWSHKh2a30DoXe8/edit?usp=sharing"",""พัทลุง!J470"")"),4)</f>
        <v>4</v>
      </c>
      <c r="K575" s="167">
        <f t="shared" ref="K575:K579" ca="1" si="122">IF(I575&gt;0,J575*100/I575,0)</f>
        <v>0</v>
      </c>
      <c r="L575" s="188"/>
      <c r="M575" s="188"/>
      <c r="N575" s="188"/>
      <c r="O575" s="188"/>
      <c r="P575" s="188"/>
    </row>
    <row r="576" spans="1:16" ht="21.75" customHeight="1" x14ac:dyDescent="0.35">
      <c r="A576" s="182"/>
      <c r="B576" s="183"/>
      <c r="C576" s="183"/>
      <c r="D576" s="202"/>
      <c r="E576" s="202"/>
      <c r="F576" s="201" t="s">
        <v>212</v>
      </c>
      <c r="G576" s="203"/>
      <c r="H576" s="481" t="s">
        <v>37</v>
      </c>
      <c r="I576" s="209">
        <f ca="1">IFERROR(__xludf.DUMMYFUNCTION("IMPORTRANGE(""https://docs.google.com/spreadsheets/d/1IYY_tgx_IHuhSq3AJ5eI5OnqOPBNLWSHKh2a30DoXe8/edit?usp=sharing"",""พัทลุง!I471"")"),0)</f>
        <v>0</v>
      </c>
      <c r="J576" s="204">
        <f ca="1">IFERROR(__xludf.DUMMYFUNCTION("IMPORTRANGE(""https://docs.google.com/spreadsheets/d/1IYY_tgx_IHuhSq3AJ5eI5OnqOPBNLWSHKh2a30DoXe8/edit?usp=sharing"",""พัทลุง!J471"")"),117)</f>
        <v>117</v>
      </c>
      <c r="K576" s="167">
        <f t="shared" ca="1" si="122"/>
        <v>0</v>
      </c>
      <c r="L576" s="188"/>
      <c r="M576" s="188"/>
      <c r="N576" s="188"/>
      <c r="O576" s="188"/>
      <c r="P576" s="188"/>
    </row>
    <row r="577" spans="1:16" ht="21.75" customHeight="1" x14ac:dyDescent="0.35">
      <c r="A577" s="182"/>
      <c r="B577" s="183"/>
      <c r="C577" s="183"/>
      <c r="D577" s="202"/>
      <c r="E577" s="202"/>
      <c r="F577" s="201" t="s">
        <v>213</v>
      </c>
      <c r="G577" s="203"/>
      <c r="H577" s="481" t="s">
        <v>37</v>
      </c>
      <c r="I577" s="209">
        <f ca="1">IFERROR(__xludf.DUMMYFUNCTION("IMPORTRANGE(""https://docs.google.com/spreadsheets/d/1IYY_tgx_IHuhSq3AJ5eI5OnqOPBNLWSHKh2a30DoXe8/edit?usp=sharing"",""พัทลุง!I472"")"),0)</f>
        <v>0</v>
      </c>
      <c r="J577" s="195">
        <f ca="1">IFERROR(__xludf.DUMMYFUNCTION("IMPORTRANGE(""https://docs.google.com/spreadsheets/d/1IYY_tgx_IHuhSq3AJ5eI5OnqOPBNLWSHKh2a30DoXe8/edit?usp=sharing"",""พัทลุง!J472"")"),1013)</f>
        <v>1013</v>
      </c>
      <c r="K577" s="167">
        <f t="shared" ca="1" si="122"/>
        <v>0</v>
      </c>
      <c r="L577" s="188"/>
      <c r="M577" s="188"/>
      <c r="N577" s="188"/>
      <c r="O577" s="188"/>
      <c r="P577" s="188"/>
    </row>
    <row r="578" spans="1:16" ht="21.75" customHeight="1" x14ac:dyDescent="0.35">
      <c r="A578" s="182"/>
      <c r="B578" s="183"/>
      <c r="C578" s="183"/>
      <c r="D578" s="202"/>
      <c r="E578" s="202"/>
      <c r="F578" s="201" t="s">
        <v>214</v>
      </c>
      <c r="G578" s="427"/>
      <c r="H578" s="481" t="s">
        <v>37</v>
      </c>
      <c r="I578" s="209">
        <f ca="1">IFERROR(__xludf.DUMMYFUNCTION("IMPORTRANGE(""https://docs.google.com/spreadsheets/d/1IYY_tgx_IHuhSq3AJ5eI5OnqOPBNLWSHKh2a30DoXe8/edit?usp=sharing"",""พัทลุง!I473"")"),0)</f>
        <v>0</v>
      </c>
      <c r="J578" s="204">
        <f ca="1">IFERROR(__xludf.DUMMYFUNCTION("IMPORTRANGE(""https://docs.google.com/spreadsheets/d/1IYY_tgx_IHuhSq3AJ5eI5OnqOPBNLWSHKh2a30DoXe8/edit?usp=sharing"",""พัทลุง!J473"")"),0)</f>
        <v>0</v>
      </c>
      <c r="K578" s="167">
        <f t="shared" ca="1" si="122"/>
        <v>0</v>
      </c>
      <c r="L578" s="188"/>
      <c r="M578" s="188"/>
      <c r="N578" s="188"/>
      <c r="O578" s="188"/>
      <c r="P578" s="188"/>
    </row>
    <row r="579" spans="1:16" ht="21.75" customHeight="1" x14ac:dyDescent="0.35">
      <c r="A579" s="182"/>
      <c r="B579" s="183"/>
      <c r="C579" s="183"/>
      <c r="D579" s="202"/>
      <c r="E579" s="202"/>
      <c r="F579" s="201" t="s">
        <v>215</v>
      </c>
      <c r="G579" s="427"/>
      <c r="H579" s="481" t="s">
        <v>37</v>
      </c>
      <c r="I579" s="209">
        <f ca="1">IFERROR(__xludf.DUMMYFUNCTION("IMPORTRANGE(""https://docs.google.com/spreadsheets/d/1IYY_tgx_IHuhSq3AJ5eI5OnqOPBNLWSHKh2a30DoXe8/edit?usp=sharing"",""พัทลุง!I474"")"),0)</f>
        <v>0</v>
      </c>
      <c r="J579" s="204">
        <f ca="1">IFERROR(__xludf.DUMMYFUNCTION("IMPORTRANGE(""https://docs.google.com/spreadsheets/d/1IYY_tgx_IHuhSq3AJ5eI5OnqOPBNLWSHKh2a30DoXe8/edit?usp=sharing"",""พัทลุง!J474"")"),0)</f>
        <v>0</v>
      </c>
      <c r="K579" s="167">
        <f t="shared" ca="1" si="122"/>
        <v>0</v>
      </c>
      <c r="L579" s="188"/>
      <c r="M579" s="188"/>
      <c r="N579" s="188"/>
      <c r="O579" s="188"/>
      <c r="P579" s="188"/>
    </row>
    <row r="580" spans="1:16" ht="21.75" customHeight="1" x14ac:dyDescent="0.35">
      <c r="A580" s="372"/>
      <c r="B580" s="373">
        <v>9</v>
      </c>
      <c r="C580" s="483" t="s">
        <v>216</v>
      </c>
      <c r="D580" s="374"/>
      <c r="E580" s="374"/>
      <c r="F580" s="374"/>
      <c r="G580" s="375"/>
      <c r="H580" s="376" t="s">
        <v>37</v>
      </c>
      <c r="I580" s="377">
        <f ca="1">IFERROR(__xludf.DUMMYFUNCTION("IMPORTRANGE(""https://docs.google.com/spreadsheets/d/1IYY_tgx_IHuhSq3AJ5eI5OnqOPBNLWSHKh2a30DoXe8/edit?usp=sharing"",""พัทลุง!I475"")"),45)</f>
        <v>45</v>
      </c>
      <c r="J580" s="377">
        <f ca="1">IFERROR(__xludf.DUMMYFUNCTION("IMPORTRANGE(""https://docs.google.com/spreadsheets/d/1IYY_tgx_IHuhSq3AJ5eI5OnqOPBNLWSHKh2a30DoXe8/edit?usp=sharing"",""พัทลุง!J475"")"),0)</f>
        <v>0</v>
      </c>
      <c r="K580" s="378">
        <f ca="1">IF(I580&gt;0,J580*100/I580,0)</f>
        <v>0</v>
      </c>
      <c r="L580" s="379">
        <f ca="1">IFERROR(__xludf.DUMMYFUNCTION("IMPORTRANGE(""https://docs.google.com/spreadsheets/d/1IYY_tgx_IHuhSq3AJ5eI5OnqOPBNLWSHKh2a30DoXe8/edit?usp=sharing"",""พัทลุง!L475"")"),143795)</f>
        <v>143795</v>
      </c>
      <c r="M580" s="379"/>
      <c r="N580" s="379">
        <f ca="1">IFERROR(__xludf.DUMMYFUNCTION("IMPORTRANGE(""https://docs.google.com/spreadsheets/d/1IYY_tgx_IHuhSq3AJ5eI5OnqOPBNLWSHKh2a30DoXe8/edit?usp=sharing"",""พัทลุง!M475"")"),0)</f>
        <v>0</v>
      </c>
      <c r="O580" s="379">
        <f t="shared" ref="O580:O584" ca="1" si="123">+IF(L580&gt;0,N580*100/L580,0)</f>
        <v>0</v>
      </c>
      <c r="P580" s="379"/>
    </row>
    <row r="581" spans="1:16" ht="21.75" customHeight="1" x14ac:dyDescent="0.35">
      <c r="A581" s="162"/>
      <c r="B581" s="163"/>
      <c r="C581" s="163" t="s">
        <v>16</v>
      </c>
      <c r="D581" s="284" t="s">
        <v>77</v>
      </c>
      <c r="E581" s="171"/>
      <c r="F581" s="171"/>
      <c r="G581" s="164" t="s">
        <v>38</v>
      </c>
      <c r="H581" s="165" t="s">
        <v>12</v>
      </c>
      <c r="I581" s="166" t="s">
        <v>39</v>
      </c>
      <c r="J581" s="166"/>
      <c r="K581" s="167"/>
      <c r="L581" s="168">
        <f ca="1">IFERROR(__xludf.DUMMYFUNCTION("IMPORTRANGE(""https://docs.google.com/spreadsheets/d/1IYY_tgx_IHuhSq3AJ5eI5OnqOPBNLWSHKh2a30DoXe8/edit?usp=sharing"",""พัทลุง!L476"")"),0)</f>
        <v>0</v>
      </c>
      <c r="M581" s="168"/>
      <c r="N581" s="175">
        <f ca="1">IFERROR(__xludf.DUMMYFUNCTION("IMPORTRANGE(""https://docs.google.com/spreadsheets/d/1IYY_tgx_IHuhSq3AJ5eI5OnqOPBNLWSHKh2a30DoXe8/edit?usp=sharing"",""พัทลุง!M476"")"),0)</f>
        <v>0</v>
      </c>
      <c r="O581" s="175">
        <f t="shared" ca="1" si="123"/>
        <v>0</v>
      </c>
      <c r="P581" s="175"/>
    </row>
    <row r="582" spans="1:16" ht="21.75" customHeight="1" x14ac:dyDescent="0.35">
      <c r="A582" s="162"/>
      <c r="B582" s="163"/>
      <c r="C582" s="163"/>
      <c r="D582" s="170"/>
      <c r="E582" s="171"/>
      <c r="F582" s="171" t="s">
        <v>39</v>
      </c>
      <c r="G582" s="164" t="s">
        <v>40</v>
      </c>
      <c r="H582" s="165" t="s">
        <v>12</v>
      </c>
      <c r="I582" s="166"/>
      <c r="J582" s="166"/>
      <c r="K582" s="167"/>
      <c r="L582" s="169">
        <f ca="1">IFERROR(__xludf.DUMMYFUNCTION("IMPORTRANGE(""https://docs.google.com/spreadsheets/d/1IYY_tgx_IHuhSq3AJ5eI5OnqOPBNLWSHKh2a30DoXe8/edit?usp=sharing"",""พัทลุง!L477"")"),143795)</f>
        <v>143795</v>
      </c>
      <c r="M582" s="169"/>
      <c r="N582" s="175">
        <f ca="1">IFERROR(__xludf.DUMMYFUNCTION("IMPORTRANGE(""https://docs.google.com/spreadsheets/d/1IYY_tgx_IHuhSq3AJ5eI5OnqOPBNLWSHKh2a30DoXe8/edit?usp=sharing"",""พัทลุง!M477"")"),0)</f>
        <v>0</v>
      </c>
      <c r="O582" s="175">
        <f t="shared" ca="1" si="123"/>
        <v>0</v>
      </c>
      <c r="P582" s="175"/>
    </row>
    <row r="583" spans="1:16" ht="21.75" customHeight="1" x14ac:dyDescent="0.35">
      <c r="A583" s="162"/>
      <c r="B583" s="163"/>
      <c r="C583" s="163"/>
      <c r="D583" s="170"/>
      <c r="E583" s="171"/>
      <c r="F583" s="171"/>
      <c r="G583" s="380" t="s">
        <v>129</v>
      </c>
      <c r="H583" s="165" t="s">
        <v>12</v>
      </c>
      <c r="I583" s="166"/>
      <c r="J583" s="166"/>
      <c r="K583" s="167"/>
      <c r="L583" s="175">
        <f ca="1">IFERROR(__xludf.DUMMYFUNCTION("IMPORTRANGE(""https://docs.google.com/spreadsheets/d/1IYY_tgx_IHuhSq3AJ5eI5OnqOPBNLWSHKh2a30DoXe8/edit?usp=sharing"",""พัทลุง!L478"")"),0)</f>
        <v>0</v>
      </c>
      <c r="M583" s="175"/>
      <c r="N583" s="175">
        <f ca="1">IFERROR(__xludf.DUMMYFUNCTION("IMPORTRANGE(""https://docs.google.com/spreadsheets/d/1IYY_tgx_IHuhSq3AJ5eI5OnqOPBNLWSHKh2a30DoXe8/edit?usp=sharing"",""พัทลุง!M478"")"),0)</f>
        <v>0</v>
      </c>
      <c r="O583" s="175">
        <f t="shared" ca="1" si="123"/>
        <v>0</v>
      </c>
      <c r="P583" s="175"/>
    </row>
    <row r="584" spans="1:16" ht="21.75" customHeight="1" x14ac:dyDescent="0.35">
      <c r="A584" s="162"/>
      <c r="B584" s="163"/>
      <c r="C584" s="163"/>
      <c r="D584" s="170"/>
      <c r="E584" s="171"/>
      <c r="F584" s="171"/>
      <c r="G584" s="380" t="s">
        <v>130</v>
      </c>
      <c r="H584" s="165" t="s">
        <v>12</v>
      </c>
      <c r="I584" s="166"/>
      <c r="J584" s="166"/>
      <c r="K584" s="167"/>
      <c r="L584" s="175">
        <f ca="1">IFERROR(__xludf.DUMMYFUNCTION("IMPORTRANGE(""https://docs.google.com/spreadsheets/d/1IYY_tgx_IHuhSq3AJ5eI5OnqOPBNLWSHKh2a30DoXe8/edit?usp=sharing"",""พัทลุง!L479"")"),143795)</f>
        <v>143795</v>
      </c>
      <c r="M584" s="175"/>
      <c r="N584" s="175">
        <f ca="1">IFERROR(__xludf.DUMMYFUNCTION("IMPORTRANGE(""https://docs.google.com/spreadsheets/d/1IYY_tgx_IHuhSq3AJ5eI5OnqOPBNLWSHKh2a30DoXe8/edit?usp=sharing"",""พัทลุง!M479"")"),0)</f>
        <v>0</v>
      </c>
      <c r="O584" s="175">
        <f t="shared" ca="1" si="123"/>
        <v>0</v>
      </c>
      <c r="P584" s="175"/>
    </row>
    <row r="585" spans="1:16" ht="21.75" customHeight="1" x14ac:dyDescent="0.35">
      <c r="A585" s="381"/>
      <c r="B585" s="382"/>
      <c r="C585" s="163"/>
      <c r="D585" s="383"/>
      <c r="E585" s="171"/>
      <c r="F585" s="171"/>
      <c r="G585" s="384" t="s">
        <v>131</v>
      </c>
      <c r="H585" s="165" t="s">
        <v>12</v>
      </c>
      <c r="I585" s="194"/>
      <c r="J585" s="194"/>
      <c r="K585" s="230"/>
      <c r="L585" s="175"/>
      <c r="M585" s="175"/>
      <c r="N585" s="172">
        <f ca="1">IFERROR(__xludf.DUMMYFUNCTION("IMPORTRANGE(""https://docs.google.com/spreadsheets/d/1IYY_tgx_IHuhSq3AJ5eI5OnqOPBNLWSHKh2a30DoXe8/edit?usp=sharing"",""พัทลุง!M480"")"),0)</f>
        <v>0</v>
      </c>
      <c r="O585" s="175"/>
      <c r="P585" s="175"/>
    </row>
    <row r="586" spans="1:16" ht="21.75" customHeight="1" x14ac:dyDescent="0.35">
      <c r="A586" s="381"/>
      <c r="B586" s="382"/>
      <c r="C586" s="163"/>
      <c r="D586" s="383"/>
      <c r="E586" s="171"/>
      <c r="F586" s="171"/>
      <c r="G586" s="384" t="s">
        <v>132</v>
      </c>
      <c r="H586" s="165" t="s">
        <v>12</v>
      </c>
      <c r="I586" s="194"/>
      <c r="J586" s="194"/>
      <c r="K586" s="230"/>
      <c r="L586" s="175"/>
      <c r="M586" s="175"/>
      <c r="N586" s="172">
        <f ca="1">IFERROR(__xludf.DUMMYFUNCTION("IMPORTRANGE(""https://docs.google.com/spreadsheets/d/1IYY_tgx_IHuhSq3AJ5eI5OnqOPBNLWSHKh2a30DoXe8/edit?usp=sharing"",""พัทลุง!M481"")"),0)</f>
        <v>0</v>
      </c>
      <c r="O586" s="175"/>
      <c r="P586" s="175"/>
    </row>
    <row r="587" spans="1:16" ht="21.75" customHeight="1" x14ac:dyDescent="0.35">
      <c r="A587" s="381"/>
      <c r="B587" s="382"/>
      <c r="C587" s="163"/>
      <c r="D587" s="383"/>
      <c r="E587" s="171"/>
      <c r="F587" s="171"/>
      <c r="G587" s="384" t="s">
        <v>133</v>
      </c>
      <c r="H587" s="165" t="s">
        <v>12</v>
      </c>
      <c r="I587" s="194"/>
      <c r="J587" s="194"/>
      <c r="K587" s="230"/>
      <c r="L587" s="175"/>
      <c r="M587" s="175"/>
      <c r="N587" s="172">
        <f ca="1">IFERROR(__xludf.DUMMYFUNCTION("IMPORTRANGE(""https://docs.google.com/spreadsheets/d/1IYY_tgx_IHuhSq3AJ5eI5OnqOPBNLWSHKh2a30DoXe8/edit?usp=sharing"",""พัทลุง!M482"")"),0)</f>
        <v>0</v>
      </c>
      <c r="O587" s="175"/>
      <c r="P587" s="175"/>
    </row>
    <row r="588" spans="1:16" ht="21.75" customHeight="1" x14ac:dyDescent="0.35">
      <c r="A588" s="381"/>
      <c r="B588" s="382"/>
      <c r="C588" s="163"/>
      <c r="D588" s="383"/>
      <c r="E588" s="171"/>
      <c r="F588" s="171"/>
      <c r="G588" s="384" t="s">
        <v>134</v>
      </c>
      <c r="H588" s="165" t="s">
        <v>12</v>
      </c>
      <c r="I588" s="194"/>
      <c r="J588" s="194"/>
      <c r="K588" s="230"/>
      <c r="L588" s="175"/>
      <c r="M588" s="175"/>
      <c r="N588" s="172">
        <f ca="1">IFERROR(__xludf.DUMMYFUNCTION("IMPORTRANGE(""https://docs.google.com/spreadsheets/d/1IYY_tgx_IHuhSq3AJ5eI5OnqOPBNLWSHKh2a30DoXe8/edit?usp=sharing"",""พัทลุง!M483"")"),0)</f>
        <v>0</v>
      </c>
      <c r="O588" s="175"/>
      <c r="P588" s="175"/>
    </row>
    <row r="589" spans="1:16" ht="21.75" customHeight="1" x14ac:dyDescent="0.35">
      <c r="A589" s="484"/>
      <c r="B589" s="170"/>
      <c r="C589" s="163"/>
      <c r="D589" s="297"/>
      <c r="E589" s="201" t="s">
        <v>217</v>
      </c>
      <c r="F589" s="202"/>
      <c r="G589" s="203"/>
      <c r="H589" s="187" t="s">
        <v>36</v>
      </c>
      <c r="I589" s="347">
        <f ca="1">IFERROR(__xludf.DUMMYFUNCTION("IMPORTRANGE(""https://docs.google.com/spreadsheets/d/1IYY_tgx_IHuhSq3AJ5eI5OnqOPBNLWSHKh2a30DoXe8/edit?usp=sharing"",""พัทลุง!I484"")"),45)</f>
        <v>45</v>
      </c>
      <c r="J589" s="194">
        <f ca="1">IFERROR(__xludf.DUMMYFUNCTION("IMPORTRANGE(""https://docs.google.com/spreadsheets/d/1IYY_tgx_IHuhSq3AJ5eI5OnqOPBNLWSHKh2a30DoXe8/edit?usp=sharing"",""พัทลุง!J484"")"),0)</f>
        <v>0</v>
      </c>
      <c r="K589" s="167">
        <f t="shared" ref="K589:K596" ca="1" si="124">IF(I589&gt;0,J589*100/I589,0)</f>
        <v>0</v>
      </c>
      <c r="L589" s="188"/>
      <c r="M589" s="188"/>
      <c r="N589" s="175"/>
      <c r="O589" s="188"/>
      <c r="P589" s="188"/>
    </row>
    <row r="590" spans="1:16" ht="21.75" customHeight="1" x14ac:dyDescent="0.35">
      <c r="A590" s="484"/>
      <c r="B590" s="170"/>
      <c r="C590" s="163"/>
      <c r="D590" s="297"/>
      <c r="E590" s="202"/>
      <c r="F590" s="202"/>
      <c r="G590" s="203"/>
      <c r="H590" s="187" t="s">
        <v>122</v>
      </c>
      <c r="I590" s="351">
        <f ca="1">IFERROR(__xludf.DUMMYFUNCTION("IMPORTRANGE(""https://docs.google.com/spreadsheets/d/1IYY_tgx_IHuhSq3AJ5eI5OnqOPBNLWSHKh2a30DoXe8/edit?usp=sharing"",""พัทลุง!I485"")"),0)</f>
        <v>0</v>
      </c>
      <c r="J590" s="194">
        <f ca="1">IFERROR(__xludf.DUMMYFUNCTION("IMPORTRANGE(""https://docs.google.com/spreadsheets/d/1IYY_tgx_IHuhSq3AJ5eI5OnqOPBNLWSHKh2a30DoXe8/edit?usp=sharing"",""พัทลุง!J485"")"),0)</f>
        <v>0</v>
      </c>
      <c r="K590" s="485">
        <f t="shared" ca="1" si="124"/>
        <v>0</v>
      </c>
      <c r="L590" s="188"/>
      <c r="M590" s="188"/>
      <c r="N590" s="175"/>
      <c r="O590" s="188"/>
      <c r="P590" s="188"/>
    </row>
    <row r="591" spans="1:16" ht="21.75" customHeight="1" x14ac:dyDescent="0.35">
      <c r="A591" s="484"/>
      <c r="B591" s="170"/>
      <c r="C591" s="163"/>
      <c r="D591" s="297"/>
      <c r="E591" s="201" t="s">
        <v>123</v>
      </c>
      <c r="F591" s="202"/>
      <c r="G591" s="203"/>
      <c r="H591" s="187" t="s">
        <v>37</v>
      </c>
      <c r="I591" s="347">
        <f ca="1">IFERROR(__xludf.DUMMYFUNCTION("IMPORTRANGE(""https://docs.google.com/spreadsheets/d/1IYY_tgx_IHuhSq3AJ5eI5OnqOPBNLWSHKh2a30DoXe8/edit?usp=sharing"",""พัทลุง!I486"")"),45)</f>
        <v>45</v>
      </c>
      <c r="J591" s="194">
        <f ca="1">IFERROR(__xludf.DUMMYFUNCTION("IMPORTRANGE(""https://docs.google.com/spreadsheets/d/1IYY_tgx_IHuhSq3AJ5eI5OnqOPBNLWSHKh2a30DoXe8/edit?usp=sharing"",""พัทลุง!J486"")"),1)</f>
        <v>1</v>
      </c>
      <c r="K591" s="167">
        <f t="shared" ca="1" si="124"/>
        <v>2.2222222222222223</v>
      </c>
      <c r="L591" s="188"/>
      <c r="M591" s="188"/>
      <c r="N591" s="188"/>
      <c r="O591" s="188"/>
      <c r="P591" s="188"/>
    </row>
    <row r="592" spans="1:16" ht="21.75" customHeight="1" x14ac:dyDescent="0.35">
      <c r="A592" s="484"/>
      <c r="B592" s="170"/>
      <c r="C592" s="163"/>
      <c r="D592" s="297"/>
      <c r="E592" s="202"/>
      <c r="F592" s="202"/>
      <c r="G592" s="203"/>
      <c r="H592" s="187" t="s">
        <v>122</v>
      </c>
      <c r="I592" s="351">
        <f ca="1">IFERROR(__xludf.DUMMYFUNCTION("IMPORTRANGE(""https://docs.google.com/spreadsheets/d/1IYY_tgx_IHuhSq3AJ5eI5OnqOPBNLWSHKh2a30DoXe8/edit?usp=sharing"",""พัทลุง!I487"")"),0)</f>
        <v>0</v>
      </c>
      <c r="J592" s="194">
        <f ca="1">IFERROR(__xludf.DUMMYFUNCTION("IMPORTRANGE(""https://docs.google.com/spreadsheets/d/1IYY_tgx_IHuhSq3AJ5eI5OnqOPBNLWSHKh2a30DoXe8/edit?usp=sharing"",""พัทลุง!J487"")"),0.75)</f>
        <v>0.75</v>
      </c>
      <c r="K592" s="348">
        <f t="shared" ca="1" si="124"/>
        <v>0</v>
      </c>
      <c r="L592" s="188"/>
      <c r="M592" s="188"/>
      <c r="N592" s="188"/>
      <c r="O592" s="188"/>
      <c r="P592" s="188"/>
    </row>
    <row r="593" spans="1:16" ht="21.75" customHeight="1" x14ac:dyDescent="0.35">
      <c r="A593" s="484"/>
      <c r="B593" s="170"/>
      <c r="C593" s="163"/>
      <c r="D593" s="297"/>
      <c r="E593" s="201" t="s">
        <v>124</v>
      </c>
      <c r="F593" s="202"/>
      <c r="G593" s="203"/>
      <c r="H593" s="187" t="s">
        <v>37</v>
      </c>
      <c r="I593" s="347">
        <f ca="1">IFERROR(__xludf.DUMMYFUNCTION("IMPORTRANGE(""https://docs.google.com/spreadsheets/d/1IYY_tgx_IHuhSq3AJ5eI5OnqOPBNLWSHKh2a30DoXe8/edit?usp=sharing"",""พัทลุง!I488"")"),45)</f>
        <v>45</v>
      </c>
      <c r="J593" s="194">
        <f ca="1">IFERROR(__xludf.DUMMYFUNCTION("IMPORTRANGE(""https://docs.google.com/spreadsheets/d/1IYY_tgx_IHuhSq3AJ5eI5OnqOPBNLWSHKh2a30DoXe8/edit?usp=sharing"",""พัทลุง!J488"")"),0)</f>
        <v>0</v>
      </c>
      <c r="K593" s="167">
        <f t="shared" ca="1" si="124"/>
        <v>0</v>
      </c>
      <c r="L593" s="188"/>
      <c r="M593" s="188"/>
      <c r="N593" s="188"/>
      <c r="O593" s="188"/>
      <c r="P593" s="188"/>
    </row>
    <row r="594" spans="1:16" ht="21.75" customHeight="1" x14ac:dyDescent="0.35">
      <c r="A594" s="484"/>
      <c r="B594" s="170"/>
      <c r="C594" s="163"/>
      <c r="D594" s="297"/>
      <c r="E594" s="202"/>
      <c r="F594" s="202"/>
      <c r="G594" s="203"/>
      <c r="H594" s="187" t="s">
        <v>122</v>
      </c>
      <c r="I594" s="351">
        <f ca="1">IFERROR(__xludf.DUMMYFUNCTION("IMPORTRANGE(""https://docs.google.com/spreadsheets/d/1IYY_tgx_IHuhSq3AJ5eI5OnqOPBNLWSHKh2a30DoXe8/edit?usp=sharing"",""พัทลุง!I489"")"),0)</f>
        <v>0</v>
      </c>
      <c r="J594" s="194">
        <f ca="1">IFERROR(__xludf.DUMMYFUNCTION("IMPORTRANGE(""https://docs.google.com/spreadsheets/d/1IYY_tgx_IHuhSq3AJ5eI5OnqOPBNLWSHKh2a30DoXe8/edit?usp=sharing"",""พัทลุง!J489"")"),0)</f>
        <v>0</v>
      </c>
      <c r="K594" s="348">
        <f t="shared" ca="1" si="124"/>
        <v>0</v>
      </c>
      <c r="L594" s="188"/>
      <c r="M594" s="188"/>
      <c r="N594" s="188"/>
      <c r="O594" s="188"/>
      <c r="P594" s="188"/>
    </row>
    <row r="595" spans="1:16" ht="21.75" customHeight="1" x14ac:dyDescent="0.35">
      <c r="A595" s="484"/>
      <c r="B595" s="170"/>
      <c r="C595" s="163"/>
      <c r="D595" s="297"/>
      <c r="E595" s="201" t="s">
        <v>125</v>
      </c>
      <c r="F595" s="202"/>
      <c r="G595" s="203"/>
      <c r="H595" s="187" t="s">
        <v>37</v>
      </c>
      <c r="I595" s="347">
        <f ca="1">IFERROR(__xludf.DUMMYFUNCTION("IMPORTRANGE(""https://docs.google.com/spreadsheets/d/1IYY_tgx_IHuhSq3AJ5eI5OnqOPBNLWSHKh2a30DoXe8/edit?usp=sharing"",""พัทลุง!I490"")"),45)</f>
        <v>45</v>
      </c>
      <c r="J595" s="194">
        <f ca="1">IFERROR(__xludf.DUMMYFUNCTION("IMPORTRANGE(""https://docs.google.com/spreadsheets/d/1IYY_tgx_IHuhSq3AJ5eI5OnqOPBNLWSHKh2a30DoXe8/edit?usp=sharing"",""พัทลุง!J490"")"),0)</f>
        <v>0</v>
      </c>
      <c r="K595" s="167">
        <f t="shared" ca="1" si="124"/>
        <v>0</v>
      </c>
      <c r="L595" s="188"/>
      <c r="M595" s="188"/>
      <c r="N595" s="188"/>
      <c r="O595" s="188"/>
      <c r="P595" s="188"/>
    </row>
    <row r="596" spans="1:16" ht="21.75" customHeight="1" x14ac:dyDescent="0.35">
      <c r="A596" s="486"/>
      <c r="B596" s="487"/>
      <c r="C596" s="488"/>
      <c r="D596" s="489"/>
      <c r="E596" s="468"/>
      <c r="F596" s="468"/>
      <c r="G596" s="469"/>
      <c r="H596" s="490" t="s">
        <v>122</v>
      </c>
      <c r="I596" s="491">
        <f ca="1">IFERROR(__xludf.DUMMYFUNCTION("IMPORTRANGE(""https://docs.google.com/spreadsheets/d/1IYY_tgx_IHuhSq3AJ5eI5OnqOPBNLWSHKh2a30DoXe8/edit?usp=sharing"",""พัทลุง!I491"")"),0)</f>
        <v>0</v>
      </c>
      <c r="J596" s="247">
        <f ca="1">IFERROR(__xludf.DUMMYFUNCTION("IMPORTRANGE(""https://docs.google.com/spreadsheets/d/1IYY_tgx_IHuhSq3AJ5eI5OnqOPBNLWSHKh2a30DoXe8/edit?usp=sharing"",""พัทลุง!J491"")"),0)</f>
        <v>0</v>
      </c>
      <c r="K596" s="492">
        <f t="shared" ca="1" si="124"/>
        <v>0</v>
      </c>
      <c r="L596" s="474"/>
      <c r="M596" s="474"/>
      <c r="N596" s="474"/>
      <c r="O596" s="474"/>
      <c r="P596" s="474"/>
    </row>
    <row r="597" spans="1:16" ht="21.75" customHeight="1" x14ac:dyDescent="0.35">
      <c r="A597" s="411"/>
      <c r="B597" s="412">
        <v>10</v>
      </c>
      <c r="C597" s="413" t="s">
        <v>218</v>
      </c>
      <c r="D597" s="413"/>
      <c r="E597" s="413"/>
      <c r="F597" s="413"/>
      <c r="G597" s="414"/>
      <c r="H597" s="415" t="s">
        <v>122</v>
      </c>
      <c r="I597" s="416">
        <f ca="1">IFERROR(__xludf.DUMMYFUNCTION("IMPORTRANGE(""https://docs.google.com/spreadsheets/d/1IYY_tgx_IHuhSq3AJ5eI5OnqOPBNLWSHKh2a30DoXe8/edit?usp=sharing"",""พัทลุง!I492"")"),50)</f>
        <v>50</v>
      </c>
      <c r="J597" s="493">
        <f ca="1">IFERROR(__xludf.DUMMYFUNCTION("IMPORTRANGE(""https://docs.google.com/spreadsheets/d/1IYY_tgx_IHuhSq3AJ5eI5OnqOPBNLWSHKh2a30DoXe8/edit?usp=sharing"",""พัทลุง!J492"")"),0)</f>
        <v>0</v>
      </c>
      <c r="K597" s="417">
        <f ca="1">IF(I597&gt;0,J597*100/I597,0)</f>
        <v>0</v>
      </c>
      <c r="L597" s="418">
        <f ca="1">IFERROR(__xludf.DUMMYFUNCTION("IMPORTRANGE(""https://docs.google.com/spreadsheets/d/1IYY_tgx_IHuhSq3AJ5eI5OnqOPBNLWSHKh2a30DoXe8/edit?usp=sharing"",""พัทลุง!L492"")"),4550)</f>
        <v>4550</v>
      </c>
      <c r="M597" s="418"/>
      <c r="N597" s="418">
        <f ca="1">IFERROR(__xludf.DUMMYFUNCTION("IMPORTRANGE(""https://docs.google.com/spreadsheets/d/1IYY_tgx_IHuhSq3AJ5eI5OnqOPBNLWSHKh2a30DoXe8/edit?usp=sharing"",""พัทลุง!M492"")"),1400)</f>
        <v>1400</v>
      </c>
      <c r="O597" s="418">
        <f t="shared" ref="O597:O601" ca="1" si="125">+IF(L597&gt;0,N597*100/L597,0)</f>
        <v>30.76923076923077</v>
      </c>
      <c r="P597" s="418"/>
    </row>
    <row r="598" spans="1:16" ht="21.75" customHeight="1" x14ac:dyDescent="0.35">
      <c r="A598" s="162"/>
      <c r="B598" s="163"/>
      <c r="C598" s="163" t="s">
        <v>16</v>
      </c>
      <c r="D598" s="284" t="s">
        <v>77</v>
      </c>
      <c r="E598" s="171"/>
      <c r="F598" s="171"/>
      <c r="G598" s="164" t="s">
        <v>38</v>
      </c>
      <c r="H598" s="165" t="s">
        <v>12</v>
      </c>
      <c r="I598" s="166" t="s">
        <v>39</v>
      </c>
      <c r="J598" s="166"/>
      <c r="K598" s="167"/>
      <c r="L598" s="168">
        <f ca="1">IFERROR(__xludf.DUMMYFUNCTION("IMPORTRANGE(""https://docs.google.com/spreadsheets/d/1IYY_tgx_IHuhSq3AJ5eI5OnqOPBNLWSHKh2a30DoXe8/edit?usp=sharing"",""พัทลุง!L493"")"),0)</f>
        <v>0</v>
      </c>
      <c r="M598" s="168"/>
      <c r="N598" s="175">
        <f ca="1">IFERROR(__xludf.DUMMYFUNCTION("IMPORTRANGE(""https://docs.google.com/spreadsheets/d/1IYY_tgx_IHuhSq3AJ5eI5OnqOPBNLWSHKh2a30DoXe8/edit?usp=sharing"",""พัทลุง!M493"")"),0)</f>
        <v>0</v>
      </c>
      <c r="O598" s="175">
        <f t="shared" ca="1" si="125"/>
        <v>0</v>
      </c>
      <c r="P598" s="175"/>
    </row>
    <row r="599" spans="1:16" ht="21.75" customHeight="1" x14ac:dyDescent="0.35">
      <c r="A599" s="162"/>
      <c r="B599" s="163"/>
      <c r="C599" s="163"/>
      <c r="D599" s="170"/>
      <c r="E599" s="171"/>
      <c r="F599" s="171" t="s">
        <v>39</v>
      </c>
      <c r="G599" s="164" t="s">
        <v>40</v>
      </c>
      <c r="H599" s="165" t="s">
        <v>12</v>
      </c>
      <c r="I599" s="166"/>
      <c r="J599" s="166"/>
      <c r="K599" s="167"/>
      <c r="L599" s="169">
        <f ca="1">IFERROR(__xludf.DUMMYFUNCTION("IMPORTRANGE(""https://docs.google.com/spreadsheets/d/1IYY_tgx_IHuhSq3AJ5eI5OnqOPBNLWSHKh2a30DoXe8/edit?usp=sharing"",""พัทลุง!L494"")"),4550)</f>
        <v>4550</v>
      </c>
      <c r="M599" s="169"/>
      <c r="N599" s="175">
        <f ca="1">IFERROR(__xludf.DUMMYFUNCTION("IMPORTRANGE(""https://docs.google.com/spreadsheets/d/1IYY_tgx_IHuhSq3AJ5eI5OnqOPBNLWSHKh2a30DoXe8/edit?usp=sharing"",""พัทลุง!M494"")"),1400)</f>
        <v>1400</v>
      </c>
      <c r="O599" s="175">
        <f t="shared" ca="1" si="125"/>
        <v>30.76923076923077</v>
      </c>
      <c r="P599" s="175"/>
    </row>
    <row r="600" spans="1:16" ht="21.75" customHeight="1" x14ac:dyDescent="0.35">
      <c r="A600" s="162"/>
      <c r="B600" s="163"/>
      <c r="C600" s="163"/>
      <c r="D600" s="170"/>
      <c r="E600" s="171"/>
      <c r="F600" s="171"/>
      <c r="G600" s="380" t="s">
        <v>129</v>
      </c>
      <c r="H600" s="165" t="s">
        <v>12</v>
      </c>
      <c r="I600" s="166"/>
      <c r="J600" s="166"/>
      <c r="K600" s="167"/>
      <c r="L600" s="175">
        <f ca="1">IFERROR(__xludf.DUMMYFUNCTION("IMPORTRANGE(""https://docs.google.com/spreadsheets/d/1IYY_tgx_IHuhSq3AJ5eI5OnqOPBNLWSHKh2a30DoXe8/edit?usp=sharing"",""พัทลุง!L495"")"),0)</f>
        <v>0</v>
      </c>
      <c r="M600" s="175"/>
      <c r="N600" s="175">
        <f ca="1">IFERROR(__xludf.DUMMYFUNCTION("IMPORTRANGE(""https://docs.google.com/spreadsheets/d/1IYY_tgx_IHuhSq3AJ5eI5OnqOPBNLWSHKh2a30DoXe8/edit?usp=sharing"",""พัทลุง!M495"")"),0)</f>
        <v>0</v>
      </c>
      <c r="O600" s="175">
        <f t="shared" ca="1" si="125"/>
        <v>0</v>
      </c>
      <c r="P600" s="175"/>
    </row>
    <row r="601" spans="1:16" ht="21.75" customHeight="1" x14ac:dyDescent="0.35">
      <c r="A601" s="162"/>
      <c r="B601" s="163"/>
      <c r="C601" s="163"/>
      <c r="D601" s="170"/>
      <c r="E601" s="171"/>
      <c r="F601" s="171"/>
      <c r="G601" s="380" t="s">
        <v>130</v>
      </c>
      <c r="H601" s="165" t="s">
        <v>12</v>
      </c>
      <c r="I601" s="166"/>
      <c r="J601" s="166"/>
      <c r="K601" s="167"/>
      <c r="L601" s="175">
        <f ca="1">IFERROR(__xludf.DUMMYFUNCTION("IMPORTRANGE(""https://docs.google.com/spreadsheets/d/1IYY_tgx_IHuhSq3AJ5eI5OnqOPBNLWSHKh2a30DoXe8/edit?usp=sharing"",""พัทลุง!L496"")"),4550)</f>
        <v>4550</v>
      </c>
      <c r="M601" s="175"/>
      <c r="N601" s="175">
        <f ca="1">IFERROR(__xludf.DUMMYFUNCTION("IMPORTRANGE(""https://docs.google.com/spreadsheets/d/1IYY_tgx_IHuhSq3AJ5eI5OnqOPBNLWSHKh2a30DoXe8/edit?usp=sharing"",""พัทลุง!M496"")"),1400)</f>
        <v>1400</v>
      </c>
      <c r="O601" s="175">
        <f t="shared" ca="1" si="125"/>
        <v>30.76923076923077</v>
      </c>
      <c r="P601" s="175"/>
    </row>
    <row r="602" spans="1:16" ht="21.75" customHeight="1" x14ac:dyDescent="0.35">
      <c r="A602" s="381"/>
      <c r="B602" s="382"/>
      <c r="C602" s="163"/>
      <c r="D602" s="383"/>
      <c r="E602" s="171"/>
      <c r="F602" s="171"/>
      <c r="G602" s="384" t="s">
        <v>131</v>
      </c>
      <c r="H602" s="165" t="s">
        <v>12</v>
      </c>
      <c r="I602" s="194"/>
      <c r="J602" s="194"/>
      <c r="K602" s="230"/>
      <c r="L602" s="175"/>
      <c r="M602" s="175"/>
      <c r="N602" s="172">
        <f ca="1">IFERROR(__xludf.DUMMYFUNCTION("IMPORTRANGE(""https://docs.google.com/spreadsheets/d/1IYY_tgx_IHuhSq3AJ5eI5OnqOPBNLWSHKh2a30DoXe8/edit?usp=sharing"",""พัทลุง!M497"")"),0)</f>
        <v>0</v>
      </c>
      <c r="O602" s="175"/>
      <c r="P602" s="175"/>
    </row>
    <row r="603" spans="1:16" ht="21.75" customHeight="1" x14ac:dyDescent="0.35">
      <c r="A603" s="381"/>
      <c r="B603" s="382"/>
      <c r="C603" s="163"/>
      <c r="D603" s="383"/>
      <c r="E603" s="171"/>
      <c r="F603" s="171"/>
      <c r="G603" s="384" t="s">
        <v>132</v>
      </c>
      <c r="H603" s="165" t="s">
        <v>12</v>
      </c>
      <c r="I603" s="194"/>
      <c r="J603" s="194"/>
      <c r="K603" s="230"/>
      <c r="L603" s="175"/>
      <c r="M603" s="175"/>
      <c r="N603" s="172">
        <f ca="1">IFERROR(__xludf.DUMMYFUNCTION("IMPORTRANGE(""https://docs.google.com/spreadsheets/d/1IYY_tgx_IHuhSq3AJ5eI5OnqOPBNLWSHKh2a30DoXe8/edit?usp=sharing"",""พัทลุง!M498"")"),0)</f>
        <v>0</v>
      </c>
      <c r="O603" s="175"/>
      <c r="P603" s="175"/>
    </row>
    <row r="604" spans="1:16" ht="21.75" customHeight="1" x14ac:dyDescent="0.35">
      <c r="A604" s="381"/>
      <c r="B604" s="382"/>
      <c r="C604" s="163"/>
      <c r="D604" s="383"/>
      <c r="E604" s="171"/>
      <c r="F604" s="171"/>
      <c r="G604" s="384" t="s">
        <v>133</v>
      </c>
      <c r="H604" s="165" t="s">
        <v>12</v>
      </c>
      <c r="I604" s="194"/>
      <c r="J604" s="194"/>
      <c r="K604" s="230"/>
      <c r="L604" s="175"/>
      <c r="M604" s="175"/>
      <c r="N604" s="385">
        <f ca="1">IFERROR(__xludf.DUMMYFUNCTION("IMPORTRANGE(""https://docs.google.com/spreadsheets/d/1IYY_tgx_IHuhSq3AJ5eI5OnqOPBNLWSHKh2a30DoXe8/edit?usp=sharing"",""พัทลุง!M499"")"),0)</f>
        <v>0</v>
      </c>
      <c r="O604" s="175"/>
      <c r="P604" s="175"/>
    </row>
    <row r="605" spans="1:16" ht="21.75" customHeight="1" x14ac:dyDescent="0.35">
      <c r="A605" s="381"/>
      <c r="B605" s="382"/>
      <c r="C605" s="163"/>
      <c r="D605" s="383"/>
      <c r="E605" s="171"/>
      <c r="F605" s="171"/>
      <c r="G605" s="384" t="s">
        <v>134</v>
      </c>
      <c r="H605" s="165" t="s">
        <v>12</v>
      </c>
      <c r="I605" s="194"/>
      <c r="J605" s="194"/>
      <c r="K605" s="230"/>
      <c r="L605" s="175"/>
      <c r="M605" s="175"/>
      <c r="N605" s="385">
        <f ca="1">IFERROR(__xludf.DUMMYFUNCTION("IMPORTRANGE(""https://docs.google.com/spreadsheets/d/1IYY_tgx_IHuhSq3AJ5eI5OnqOPBNLWSHKh2a30DoXe8/edit?usp=sharing"",""พัทลุง!M500"")"),1400)</f>
        <v>1400</v>
      </c>
      <c r="O605" s="175"/>
      <c r="P605" s="175"/>
    </row>
    <row r="606" spans="1:16" ht="21.75" customHeight="1" x14ac:dyDescent="0.35">
      <c r="A606" s="182"/>
      <c r="B606" s="183"/>
      <c r="C606" s="163" t="s">
        <v>16</v>
      </c>
      <c r="D606" s="184" t="s">
        <v>43</v>
      </c>
      <c r="E606" s="185"/>
      <c r="F606" s="185"/>
      <c r="G606" s="186"/>
      <c r="H606" s="187"/>
      <c r="I606" s="166"/>
      <c r="J606" s="166"/>
      <c r="K606" s="167"/>
      <c r="L606" s="188"/>
      <c r="M606" s="188"/>
      <c r="N606" s="188"/>
      <c r="O606" s="188"/>
      <c r="P606" s="188"/>
    </row>
    <row r="607" spans="1:16" ht="21.75" customHeight="1" x14ac:dyDescent="0.35">
      <c r="A607" s="182"/>
      <c r="B607" s="183"/>
      <c r="C607" s="183"/>
      <c r="D607" s="189">
        <v>1</v>
      </c>
      <c r="E607" s="190" t="s">
        <v>44</v>
      </c>
      <c r="F607" s="191"/>
      <c r="G607" s="192"/>
      <c r="H607" s="193"/>
      <c r="I607" s="194"/>
      <c r="J607" s="204">
        <f ca="1">IFERROR(__xludf.DUMMYFUNCTION("IMPORTRANGE(""https://docs.google.com/spreadsheets/d/1IYY_tgx_IHuhSq3AJ5eI5OnqOPBNLWSHKh2a30DoXe8/edit?usp=sharing"",""พัทลุง!J502"")"),0)</f>
        <v>0</v>
      </c>
      <c r="K607" s="167"/>
      <c r="L607" s="188"/>
      <c r="M607" s="188"/>
      <c r="N607" s="188"/>
      <c r="O607" s="188"/>
      <c r="P607" s="188"/>
    </row>
    <row r="608" spans="1:16" ht="21.75" customHeight="1" x14ac:dyDescent="0.35">
      <c r="A608" s="182"/>
      <c r="B608" s="183"/>
      <c r="C608" s="183"/>
      <c r="D608" s="196">
        <v>2</v>
      </c>
      <c r="E608" s="197" t="s">
        <v>45</v>
      </c>
      <c r="F608" s="198"/>
      <c r="G608" s="199"/>
      <c r="H608" s="193"/>
      <c r="I608" s="194"/>
      <c r="J608" s="204">
        <f ca="1">IFERROR(__xludf.DUMMYFUNCTION("IMPORTRANGE(""https://docs.google.com/spreadsheets/d/1IYY_tgx_IHuhSq3AJ5eI5OnqOPBNLWSHKh2a30DoXe8/edit?usp=sharing"",""พัทลุง!J503"")"),1)</f>
        <v>1</v>
      </c>
      <c r="K608" s="167"/>
      <c r="L608" s="188" t="s">
        <v>39</v>
      </c>
      <c r="M608" s="188"/>
      <c r="N608" s="188" t="s">
        <v>39</v>
      </c>
      <c r="O608" s="188"/>
      <c r="P608" s="188"/>
    </row>
    <row r="609" spans="1:16" ht="21.75" hidden="1" customHeight="1" x14ac:dyDescent="0.35">
      <c r="A609" s="494"/>
      <c r="B609" s="495"/>
      <c r="C609" s="495"/>
      <c r="D609" s="496"/>
      <c r="E609" s="497" t="s">
        <v>46</v>
      </c>
      <c r="F609" s="498"/>
      <c r="G609" s="499"/>
      <c r="H609" s="500"/>
      <c r="I609" s="501"/>
      <c r="J609" s="501">
        <f ca="1">IFERROR(__xludf.DUMMYFUNCTION("IMPORTRANGE(""https://docs.google.com/spreadsheets/d/1IYY_tgx_IHuhSq3AJ5eI5OnqOPBNLWSHKh2a30DoXe8/edit?usp=sharing"",""พัทลุง!J166"")"),0)</f>
        <v>0</v>
      </c>
      <c r="K609" s="502"/>
      <c r="L609" s="503"/>
      <c r="M609" s="503"/>
      <c r="N609" s="503"/>
      <c r="O609" s="503"/>
      <c r="P609" s="503"/>
    </row>
    <row r="610" spans="1:16" ht="21.75" hidden="1" customHeight="1" x14ac:dyDescent="0.35">
      <c r="A610" s="494"/>
      <c r="B610" s="495"/>
      <c r="C610" s="495"/>
      <c r="D610" s="496"/>
      <c r="E610" s="497" t="s">
        <v>47</v>
      </c>
      <c r="F610" s="498"/>
      <c r="G610" s="499"/>
      <c r="H610" s="500"/>
      <c r="I610" s="501"/>
      <c r="J610" s="501">
        <f ca="1">IFERROR(__xludf.DUMMYFUNCTION("IMPORTRANGE(""https://docs.google.com/spreadsheets/d/1IYY_tgx_IHuhSq3AJ5eI5OnqOPBNLWSHKh2a30DoXe8/edit?usp=sharing"",""พัทลุง!J166"")"),0)</f>
        <v>0</v>
      </c>
      <c r="K610" s="502"/>
      <c r="L610" s="503"/>
      <c r="M610" s="503"/>
      <c r="N610" s="503"/>
      <c r="O610" s="503"/>
      <c r="P610" s="503"/>
    </row>
    <row r="611" spans="1:16" ht="21.75" customHeight="1" x14ac:dyDescent="0.35">
      <c r="A611" s="182"/>
      <c r="B611" s="183"/>
      <c r="C611" s="183"/>
      <c r="D611" s="200"/>
      <c r="E611" s="202"/>
      <c r="F611" s="202" t="s">
        <v>219</v>
      </c>
      <c r="G611" s="203"/>
      <c r="H611" s="187" t="s">
        <v>122</v>
      </c>
      <c r="I611" s="194">
        <f ca="1">IFERROR(__xludf.DUMMYFUNCTION("IMPORTRANGE(""https://docs.google.com/spreadsheets/d/1IYY_tgx_IHuhSq3AJ5eI5OnqOPBNLWSHKh2a30DoXe8/edit?usp=sharing"",""พัทลุง!I506"")"),50)</f>
        <v>50</v>
      </c>
      <c r="J611" s="166">
        <f ca="1">IFERROR(__xludf.DUMMYFUNCTION("IMPORTRANGE(""https://docs.google.com/spreadsheets/d/1IYY_tgx_IHuhSq3AJ5eI5OnqOPBNLWSHKh2a30DoXe8/edit?usp=sharing"",""พัทลุง!J506"")"),0)</f>
        <v>0</v>
      </c>
      <c r="K611" s="167">
        <f t="shared" ref="K611:K619" ca="1" si="126">IF(I$611&gt;0,J611*100/I$611,0)</f>
        <v>0</v>
      </c>
      <c r="L611" s="188"/>
      <c r="M611" s="188"/>
      <c r="N611" s="188"/>
      <c r="O611" s="188"/>
      <c r="P611" s="188"/>
    </row>
    <row r="612" spans="1:16" ht="21.75" customHeight="1" x14ac:dyDescent="0.35">
      <c r="A612" s="182"/>
      <c r="B612" s="183"/>
      <c r="C612" s="183"/>
      <c r="D612" s="200"/>
      <c r="E612" s="205"/>
      <c r="F612" s="202"/>
      <c r="G612" s="232" t="s">
        <v>220</v>
      </c>
      <c r="H612" s="187" t="s">
        <v>122</v>
      </c>
      <c r="I612" s="210">
        <f ca="1">IFERROR(__xludf.DUMMYFUNCTION("IMPORTRANGE(""https://docs.google.com/spreadsheets/d/1IYY_tgx_IHuhSq3AJ5eI5OnqOPBNLWSHKh2a30DoXe8/edit?usp=sharing"",""พัทลุง!I507"")"),0)</f>
        <v>0</v>
      </c>
      <c r="J612" s="204">
        <f ca="1">IFERROR(__xludf.DUMMYFUNCTION("IMPORTRANGE(""https://docs.google.com/spreadsheets/d/1IYY_tgx_IHuhSq3AJ5eI5OnqOPBNLWSHKh2a30DoXe8/edit?usp=sharing"",""พัทลุง!J507"")"),30)</f>
        <v>30</v>
      </c>
      <c r="K612" s="167">
        <f t="shared" ca="1" si="126"/>
        <v>60</v>
      </c>
      <c r="L612" s="188"/>
      <c r="M612" s="188"/>
      <c r="N612" s="188"/>
      <c r="O612" s="188"/>
      <c r="P612" s="188"/>
    </row>
    <row r="613" spans="1:16" ht="21.75" customHeight="1" x14ac:dyDescent="0.35">
      <c r="A613" s="182"/>
      <c r="B613" s="183"/>
      <c r="C613" s="183"/>
      <c r="D613" s="200"/>
      <c r="E613" s="205"/>
      <c r="F613" s="202"/>
      <c r="G613" s="232" t="s">
        <v>221</v>
      </c>
      <c r="H613" s="187" t="s">
        <v>122</v>
      </c>
      <c r="I613" s="210">
        <f ca="1">IFERROR(__xludf.DUMMYFUNCTION("IMPORTRANGE(""https://docs.google.com/spreadsheets/d/1IYY_tgx_IHuhSq3AJ5eI5OnqOPBNLWSHKh2a30DoXe8/edit?usp=sharing"",""พัทลุง!I508"")"),0)</f>
        <v>0</v>
      </c>
      <c r="J613" s="204">
        <f ca="1">IFERROR(__xludf.DUMMYFUNCTION("IMPORTRANGE(""https://docs.google.com/spreadsheets/d/1IYY_tgx_IHuhSq3AJ5eI5OnqOPBNLWSHKh2a30DoXe8/edit?usp=sharing"",""พัทลุง!J508"")"),30)</f>
        <v>30</v>
      </c>
      <c r="K613" s="167">
        <f t="shared" ca="1" si="126"/>
        <v>60</v>
      </c>
      <c r="L613" s="188"/>
      <c r="M613" s="188"/>
      <c r="N613" s="188"/>
      <c r="O613" s="188"/>
      <c r="P613" s="188"/>
    </row>
    <row r="614" spans="1:16" ht="21.75" customHeight="1" x14ac:dyDescent="0.35">
      <c r="A614" s="182"/>
      <c r="B614" s="183"/>
      <c r="C614" s="183"/>
      <c r="D614" s="200"/>
      <c r="E614" s="205"/>
      <c r="F614" s="202"/>
      <c r="G614" s="232" t="s">
        <v>222</v>
      </c>
      <c r="H614" s="187" t="s">
        <v>122</v>
      </c>
      <c r="I614" s="210">
        <f ca="1">IFERROR(__xludf.DUMMYFUNCTION("IMPORTRANGE(""https://docs.google.com/spreadsheets/d/1IYY_tgx_IHuhSq3AJ5eI5OnqOPBNLWSHKh2a30DoXe8/edit?usp=sharing"",""พัทลุง!I509"")"),0)</f>
        <v>0</v>
      </c>
      <c r="J614" s="204">
        <f ca="1">IFERROR(__xludf.DUMMYFUNCTION("IMPORTRANGE(""https://docs.google.com/spreadsheets/d/1IYY_tgx_IHuhSq3AJ5eI5OnqOPBNLWSHKh2a30DoXe8/edit?usp=sharing"",""พัทลุง!J509"")"),30)</f>
        <v>30</v>
      </c>
      <c r="K614" s="167">
        <f t="shared" ca="1" si="126"/>
        <v>60</v>
      </c>
      <c r="L614" s="188"/>
      <c r="M614" s="188"/>
      <c r="N614" s="188"/>
      <c r="O614" s="188"/>
      <c r="P614" s="188"/>
    </row>
    <row r="615" spans="1:16" ht="21.75" customHeight="1" x14ac:dyDescent="0.35">
      <c r="A615" s="182"/>
      <c r="B615" s="183"/>
      <c r="C615" s="183"/>
      <c r="D615" s="200"/>
      <c r="E615" s="205"/>
      <c r="F615" s="202"/>
      <c r="G615" s="232" t="s">
        <v>223</v>
      </c>
      <c r="H615" s="187" t="s">
        <v>122</v>
      </c>
      <c r="I615" s="210">
        <f ca="1">IFERROR(__xludf.DUMMYFUNCTION("IMPORTRANGE(""https://docs.google.com/spreadsheets/d/1IYY_tgx_IHuhSq3AJ5eI5OnqOPBNLWSHKh2a30DoXe8/edit?usp=sharing"",""พัทลุง!I510"")"),0)</f>
        <v>0</v>
      </c>
      <c r="J615" s="204">
        <f ca="1">IFERROR(__xludf.DUMMYFUNCTION("IMPORTRANGE(""https://docs.google.com/spreadsheets/d/1IYY_tgx_IHuhSq3AJ5eI5OnqOPBNLWSHKh2a30DoXe8/edit?usp=sharing"",""พัทลุง!J510"")"),30)</f>
        <v>30</v>
      </c>
      <c r="K615" s="167">
        <f t="shared" ca="1" si="126"/>
        <v>60</v>
      </c>
      <c r="L615" s="188"/>
      <c r="M615" s="188"/>
      <c r="N615" s="188"/>
      <c r="O615" s="188"/>
      <c r="P615" s="188"/>
    </row>
    <row r="616" spans="1:16" ht="21.75" customHeight="1" x14ac:dyDescent="0.35">
      <c r="A616" s="182"/>
      <c r="B616" s="183"/>
      <c r="C616" s="183"/>
      <c r="D616" s="200"/>
      <c r="E616" s="205"/>
      <c r="F616" s="202"/>
      <c r="G616" s="201" t="s">
        <v>224</v>
      </c>
      <c r="H616" s="187" t="s">
        <v>122</v>
      </c>
      <c r="I616" s="210">
        <f ca="1">IFERROR(__xludf.DUMMYFUNCTION("IMPORTRANGE(""https://docs.google.com/spreadsheets/d/1IYY_tgx_IHuhSq3AJ5eI5OnqOPBNLWSHKh2a30DoXe8/edit?usp=sharing"",""พัทลุง!I511"")"),0)</f>
        <v>0</v>
      </c>
      <c r="J616" s="204">
        <f ca="1">IFERROR(__xludf.DUMMYFUNCTION("IMPORTRANGE(""https://docs.google.com/spreadsheets/d/1IYY_tgx_IHuhSq3AJ5eI5OnqOPBNLWSHKh2a30DoXe8/edit?usp=sharing"",""พัทลุง!J511"")"),30)</f>
        <v>30</v>
      </c>
      <c r="K616" s="167">
        <f t="shared" ca="1" si="126"/>
        <v>60</v>
      </c>
      <c r="L616" s="188"/>
      <c r="M616" s="188"/>
      <c r="N616" s="188"/>
      <c r="O616" s="188"/>
      <c r="P616" s="188"/>
    </row>
    <row r="617" spans="1:16" ht="21.75" customHeight="1" x14ac:dyDescent="0.35">
      <c r="A617" s="182"/>
      <c r="B617" s="183"/>
      <c r="C617" s="183"/>
      <c r="D617" s="200"/>
      <c r="E617" s="205"/>
      <c r="F617" s="202"/>
      <c r="G617" s="201" t="s">
        <v>225</v>
      </c>
      <c r="H617" s="187" t="s">
        <v>122</v>
      </c>
      <c r="I617" s="194">
        <f ca="1">IFERROR(__xludf.DUMMYFUNCTION("IMPORTRANGE(""https://docs.google.com/spreadsheets/d/1IYY_tgx_IHuhSq3AJ5eI5OnqOPBNLWSHKh2a30DoXe8/edit?usp=sharing"",""พัทลุง!I512"")"),0)</f>
        <v>0</v>
      </c>
      <c r="J617" s="194">
        <f ca="1">IFERROR(__xludf.DUMMYFUNCTION("IMPORTRANGE(""https://docs.google.com/spreadsheets/d/1IYY_tgx_IHuhSq3AJ5eI5OnqOPBNLWSHKh2a30DoXe8/edit?usp=sharing"",""พัทลุง!J512"")"),0)</f>
        <v>0</v>
      </c>
      <c r="K617" s="167">
        <f t="shared" ca="1" si="126"/>
        <v>0</v>
      </c>
      <c r="L617" s="188"/>
      <c r="M617" s="188"/>
      <c r="N617" s="188"/>
      <c r="O617" s="188"/>
      <c r="P617" s="188"/>
    </row>
    <row r="618" spans="1:16" ht="21.75" customHeight="1" x14ac:dyDescent="0.35">
      <c r="A618" s="182"/>
      <c r="B618" s="183"/>
      <c r="C618" s="183"/>
      <c r="D618" s="200"/>
      <c r="E618" s="205"/>
      <c r="F618" s="202"/>
      <c r="G618" s="504" t="s">
        <v>226</v>
      </c>
      <c r="H618" s="187" t="s">
        <v>122</v>
      </c>
      <c r="I618" s="210">
        <f ca="1">IFERROR(__xludf.DUMMYFUNCTION("IMPORTRANGE(""https://docs.google.com/spreadsheets/d/1IYY_tgx_IHuhSq3AJ5eI5OnqOPBNLWSHKh2a30DoXe8/edit?usp=sharing"",""พัทลุง!I513"")"),0)</f>
        <v>0</v>
      </c>
      <c r="J618" s="195">
        <f ca="1">IFERROR(__xludf.DUMMYFUNCTION("IMPORTRANGE(""https://docs.google.com/spreadsheets/d/1IYY_tgx_IHuhSq3AJ5eI5OnqOPBNLWSHKh2a30DoXe8/edit?usp=sharing"",""พัทลุง!J513"")"),0)</f>
        <v>0</v>
      </c>
      <c r="K618" s="167">
        <f t="shared" ca="1" si="126"/>
        <v>0</v>
      </c>
      <c r="L618" s="188"/>
      <c r="M618" s="188"/>
      <c r="N618" s="188"/>
      <c r="O618" s="188"/>
      <c r="P618" s="188"/>
    </row>
    <row r="619" spans="1:16" ht="21.75" customHeight="1" x14ac:dyDescent="0.35">
      <c r="A619" s="182"/>
      <c r="B619" s="183"/>
      <c r="C619" s="183"/>
      <c r="D619" s="200"/>
      <c r="E619" s="205"/>
      <c r="F619" s="202"/>
      <c r="G619" s="504" t="s">
        <v>227</v>
      </c>
      <c r="H619" s="187" t="s">
        <v>122</v>
      </c>
      <c r="I619" s="210">
        <f ca="1">IFERROR(__xludf.DUMMYFUNCTION("IMPORTRANGE(""https://docs.google.com/spreadsheets/d/1IYY_tgx_IHuhSq3AJ5eI5OnqOPBNLWSHKh2a30DoXe8/edit?usp=sharing"",""พัทลุง!I514"")"),0)</f>
        <v>0</v>
      </c>
      <c r="J619" s="195">
        <f ca="1">IFERROR(__xludf.DUMMYFUNCTION("IMPORTRANGE(""https://docs.google.com/spreadsheets/d/1IYY_tgx_IHuhSq3AJ5eI5OnqOPBNLWSHKh2a30DoXe8/edit?usp=sharing"",""พัทลุง!J514"")"),0)</f>
        <v>0</v>
      </c>
      <c r="K619" s="167">
        <f t="shared" ca="1" si="126"/>
        <v>0</v>
      </c>
      <c r="L619" s="188"/>
      <c r="M619" s="188"/>
      <c r="N619" s="188"/>
      <c r="O619" s="188"/>
      <c r="P619" s="188"/>
    </row>
    <row r="620" spans="1:16" ht="21.75" customHeight="1" x14ac:dyDescent="0.35">
      <c r="A620" s="182"/>
      <c r="B620" s="183"/>
      <c r="C620" s="183"/>
      <c r="D620" s="200"/>
      <c r="E620" s="202"/>
      <c r="F620" s="201" t="s">
        <v>228</v>
      </c>
      <c r="G620" s="203"/>
      <c r="H620" s="187" t="s">
        <v>122</v>
      </c>
      <c r="I620" s="194">
        <f ca="1">IFERROR(__xludf.DUMMYFUNCTION("IMPORTRANGE(""https://docs.google.com/spreadsheets/d/1IYY_tgx_IHuhSq3AJ5eI5OnqOPBNLWSHKh2a30DoXe8/edit?usp=sharing"",""พัทลุง!I515"")"),0)</f>
        <v>0</v>
      </c>
      <c r="J620" s="209">
        <f ca="1">IFERROR(__xludf.DUMMYFUNCTION("IMPORTRANGE(""https://docs.google.com/spreadsheets/d/1IYY_tgx_IHuhSq3AJ5eI5OnqOPBNLWSHKh2a30DoXe8/edit?usp=sharing"",""พัทลุง!J515"")"),0)</f>
        <v>0</v>
      </c>
      <c r="K620" s="167">
        <f t="shared" ref="K620:K626" ca="1" si="127">IF(I$620&gt;0,J620*100/I$620,0)</f>
        <v>0</v>
      </c>
      <c r="L620" s="188"/>
      <c r="M620" s="188"/>
      <c r="N620" s="188"/>
      <c r="O620" s="188"/>
      <c r="P620" s="188"/>
    </row>
    <row r="621" spans="1:16" ht="21.75" customHeight="1" x14ac:dyDescent="0.35">
      <c r="A621" s="182"/>
      <c r="B621" s="183"/>
      <c r="C621" s="183"/>
      <c r="D621" s="200"/>
      <c r="E621" s="205"/>
      <c r="F621" s="202"/>
      <c r="G621" s="232" t="s">
        <v>225</v>
      </c>
      <c r="H621" s="187" t="s">
        <v>122</v>
      </c>
      <c r="I621" s="209">
        <f ca="1">IFERROR(__xludf.DUMMYFUNCTION("IMPORTRANGE(""https://docs.google.com/spreadsheets/d/1IYY_tgx_IHuhSq3AJ5eI5OnqOPBNLWSHKh2a30DoXe8/edit?usp=sharing"",""พัทลุง!I516"")"),0)</f>
        <v>0</v>
      </c>
      <c r="J621" s="209">
        <f ca="1">IFERROR(__xludf.DUMMYFUNCTION("IMPORTRANGE(""https://docs.google.com/spreadsheets/d/1IYY_tgx_IHuhSq3AJ5eI5OnqOPBNLWSHKh2a30DoXe8/edit?usp=sharing"",""พัทลุง!J516"")"),0)</f>
        <v>0</v>
      </c>
      <c r="K621" s="167">
        <f t="shared" ca="1" si="127"/>
        <v>0</v>
      </c>
      <c r="L621" s="188"/>
      <c r="M621" s="188"/>
      <c r="N621" s="188"/>
      <c r="O621" s="188"/>
      <c r="P621" s="188"/>
    </row>
    <row r="622" spans="1:16" ht="21.75" customHeight="1" x14ac:dyDescent="0.35">
      <c r="A622" s="182"/>
      <c r="B622" s="183"/>
      <c r="C622" s="183"/>
      <c r="D622" s="200"/>
      <c r="E622" s="205"/>
      <c r="F622" s="202"/>
      <c r="G622" s="504" t="s">
        <v>226</v>
      </c>
      <c r="H622" s="187" t="s">
        <v>122</v>
      </c>
      <c r="I622" s="210">
        <f ca="1">IFERROR(__xludf.DUMMYFUNCTION("IMPORTRANGE(""https://docs.google.com/spreadsheets/d/1IYY_tgx_IHuhSq3AJ5eI5OnqOPBNLWSHKh2a30DoXe8/edit?usp=sharing"",""พัทลุง!I517"")"),0)</f>
        <v>0</v>
      </c>
      <c r="J622" s="195">
        <f ca="1">IFERROR(__xludf.DUMMYFUNCTION("IMPORTRANGE(""https://docs.google.com/spreadsheets/d/1IYY_tgx_IHuhSq3AJ5eI5OnqOPBNLWSHKh2a30DoXe8/edit?usp=sharing"",""พัทลุง!J517"")"),0)</f>
        <v>0</v>
      </c>
      <c r="K622" s="167">
        <f t="shared" ca="1" si="127"/>
        <v>0</v>
      </c>
      <c r="L622" s="188"/>
      <c r="M622" s="188"/>
      <c r="N622" s="188"/>
      <c r="O622" s="188"/>
      <c r="P622" s="188"/>
    </row>
    <row r="623" spans="1:16" ht="21.75" customHeight="1" x14ac:dyDescent="0.35">
      <c r="A623" s="182"/>
      <c r="B623" s="183"/>
      <c r="C623" s="183"/>
      <c r="D623" s="200"/>
      <c r="E623" s="205"/>
      <c r="F623" s="202"/>
      <c r="G623" s="504" t="s">
        <v>227</v>
      </c>
      <c r="H623" s="187" t="s">
        <v>122</v>
      </c>
      <c r="I623" s="210">
        <f ca="1">IFERROR(__xludf.DUMMYFUNCTION("IMPORTRANGE(""https://docs.google.com/spreadsheets/d/1IYY_tgx_IHuhSq3AJ5eI5OnqOPBNLWSHKh2a30DoXe8/edit?usp=sharing"",""พัทลุง!I518"")"),0)</f>
        <v>0</v>
      </c>
      <c r="J623" s="195">
        <f ca="1">IFERROR(__xludf.DUMMYFUNCTION("IMPORTRANGE(""https://docs.google.com/spreadsheets/d/1IYY_tgx_IHuhSq3AJ5eI5OnqOPBNLWSHKh2a30DoXe8/edit?usp=sharing"",""พัทลุง!J518"")"),0)</f>
        <v>0</v>
      </c>
      <c r="K623" s="167">
        <f t="shared" ca="1" si="127"/>
        <v>0</v>
      </c>
      <c r="L623" s="188"/>
      <c r="M623" s="188"/>
      <c r="N623" s="188"/>
      <c r="O623" s="188"/>
      <c r="P623" s="188"/>
    </row>
    <row r="624" spans="1:16" ht="21.75" customHeight="1" x14ac:dyDescent="0.35">
      <c r="A624" s="182"/>
      <c r="B624" s="183"/>
      <c r="C624" s="183"/>
      <c r="D624" s="200"/>
      <c r="E624" s="205"/>
      <c r="F624" s="202"/>
      <c r="G624" s="232" t="s">
        <v>229</v>
      </c>
      <c r="H624" s="187" t="s">
        <v>122</v>
      </c>
      <c r="I624" s="194">
        <f ca="1">IFERROR(__xludf.DUMMYFUNCTION("IMPORTRANGE(""https://docs.google.com/spreadsheets/d/1IYY_tgx_IHuhSq3AJ5eI5OnqOPBNLWSHKh2a30DoXe8/edit?usp=sharing"",""พัทลุง!I519"")"),0)</f>
        <v>0</v>
      </c>
      <c r="J624" s="194">
        <f ca="1">IFERROR(__xludf.DUMMYFUNCTION("IMPORTRANGE(""https://docs.google.com/spreadsheets/d/1IYY_tgx_IHuhSq3AJ5eI5OnqOPBNLWSHKh2a30DoXe8/edit?usp=sharing"",""พัทลุง!J519"")"),0)</f>
        <v>0</v>
      </c>
      <c r="K624" s="167">
        <f t="shared" ca="1" si="127"/>
        <v>0</v>
      </c>
      <c r="L624" s="188"/>
      <c r="M624" s="188"/>
      <c r="N624" s="188"/>
      <c r="O624" s="188"/>
      <c r="P624" s="188"/>
    </row>
    <row r="625" spans="1:16" ht="21.75" customHeight="1" x14ac:dyDescent="0.35">
      <c r="A625" s="182"/>
      <c r="B625" s="183"/>
      <c r="C625" s="183"/>
      <c r="D625" s="200"/>
      <c r="E625" s="205"/>
      <c r="F625" s="202"/>
      <c r="G625" s="504" t="s">
        <v>230</v>
      </c>
      <c r="H625" s="187" t="s">
        <v>122</v>
      </c>
      <c r="I625" s="210">
        <f ca="1">IFERROR(__xludf.DUMMYFUNCTION("IMPORTRANGE(""https://docs.google.com/spreadsheets/d/1IYY_tgx_IHuhSq3AJ5eI5OnqOPBNLWSHKh2a30DoXe8/edit?usp=sharing"",""พัทลุง!I520"")"),0)</f>
        <v>0</v>
      </c>
      <c r="J625" s="195">
        <f ca="1">IFERROR(__xludf.DUMMYFUNCTION("IMPORTRANGE(""https://docs.google.com/spreadsheets/d/1IYY_tgx_IHuhSq3AJ5eI5OnqOPBNLWSHKh2a30DoXe8/edit?usp=sharing"",""พัทลุง!J520"")"),0)</f>
        <v>0</v>
      </c>
      <c r="K625" s="167">
        <f t="shared" ca="1" si="127"/>
        <v>0</v>
      </c>
      <c r="L625" s="188"/>
      <c r="M625" s="188"/>
      <c r="N625" s="188"/>
      <c r="O625" s="188"/>
      <c r="P625" s="188"/>
    </row>
    <row r="626" spans="1:16" ht="21.75" customHeight="1" x14ac:dyDescent="0.35">
      <c r="A626" s="182"/>
      <c r="B626" s="183"/>
      <c r="C626" s="183"/>
      <c r="D626" s="200"/>
      <c r="E626" s="205"/>
      <c r="F626" s="202"/>
      <c r="G626" s="504" t="s">
        <v>231</v>
      </c>
      <c r="H626" s="187" t="s">
        <v>122</v>
      </c>
      <c r="I626" s="210">
        <f ca="1">IFERROR(__xludf.DUMMYFUNCTION("IMPORTRANGE(""https://docs.google.com/spreadsheets/d/1IYY_tgx_IHuhSq3AJ5eI5OnqOPBNLWSHKh2a30DoXe8/edit?usp=sharing"",""พัทลุง!I521"")"),0)</f>
        <v>0</v>
      </c>
      <c r="J626" s="195">
        <f ca="1">IFERROR(__xludf.DUMMYFUNCTION("IMPORTRANGE(""https://docs.google.com/spreadsheets/d/1IYY_tgx_IHuhSq3AJ5eI5OnqOPBNLWSHKh2a30DoXe8/edit?usp=sharing"",""พัทลุง!J521"")"),0)</f>
        <v>0</v>
      </c>
      <c r="K626" s="167">
        <f t="shared" ca="1" si="127"/>
        <v>0</v>
      </c>
      <c r="L626" s="188"/>
      <c r="M626" s="188"/>
      <c r="N626" s="188"/>
      <c r="O626" s="188"/>
      <c r="P626" s="188"/>
    </row>
    <row r="627" spans="1:16" ht="21.75" customHeight="1" x14ac:dyDescent="0.35">
      <c r="A627" s="505" t="s">
        <v>232</v>
      </c>
      <c r="B627" s="506"/>
      <c r="C627" s="506"/>
      <c r="D627" s="506"/>
      <c r="E627" s="506"/>
      <c r="F627" s="506"/>
      <c r="G627" s="507"/>
      <c r="H627" s="508"/>
      <c r="I627" s="509"/>
      <c r="J627" s="509"/>
      <c r="K627" s="510"/>
      <c r="L627" s="510"/>
      <c r="M627" s="510"/>
      <c r="N627" s="510"/>
      <c r="O627" s="511"/>
      <c r="P627" s="511"/>
    </row>
    <row r="628" spans="1:16" ht="21.75" customHeight="1" x14ac:dyDescent="0.35">
      <c r="A628" s="484"/>
      <c r="B628" s="512" t="s">
        <v>233</v>
      </c>
      <c r="C628" s="163"/>
      <c r="D628" s="170"/>
      <c r="E628" s="171"/>
      <c r="F628" s="171"/>
      <c r="G628" s="164"/>
      <c r="H628" s="513" t="s">
        <v>12</v>
      </c>
      <c r="I628" s="347">
        <f ca="1">IFERROR(__xludf.DUMMYFUNCTION("IMPORTRANGE(""https://docs.google.com/spreadsheets/d/1IYY_tgx_IHuhSq3AJ5eI5OnqOPBNLWSHKh2a30DoXe8/edit?usp=sharing"",""พัทลุง!I523"")"),1565319.63)</f>
        <v>1565319.63</v>
      </c>
      <c r="J628" s="347">
        <f ca="1">IFERROR(__xludf.DUMMYFUNCTION("IMPORTRANGE(""https://docs.google.com/spreadsheets/d/1IYY_tgx_IHuhSq3AJ5eI5OnqOPBNLWSHKh2a30DoXe8/edit?usp=sharing"",""พัทลุง!J523"")"),861606.92)</f>
        <v>861606.92</v>
      </c>
      <c r="K628" s="348">
        <f t="shared" ref="K628:K635" ca="1" si="128">IF(I628&gt;0,J628*100/I628,0)</f>
        <v>55.043513381353307</v>
      </c>
      <c r="L628" s="348"/>
      <c r="M628" s="348"/>
      <c r="N628" s="348"/>
      <c r="O628" s="175"/>
      <c r="P628" s="175"/>
    </row>
    <row r="629" spans="1:16" ht="21.75" customHeight="1" x14ac:dyDescent="0.35">
      <c r="A629" s="484"/>
      <c r="B629" s="163"/>
      <c r="C629" s="163"/>
      <c r="D629" s="170"/>
      <c r="E629" s="171"/>
      <c r="F629" s="171"/>
      <c r="G629" s="164"/>
      <c r="H629" s="513" t="s">
        <v>37</v>
      </c>
      <c r="I629" s="347">
        <f ca="1">IFERROR(__xludf.DUMMYFUNCTION("IMPORTRANGE(""https://docs.google.com/spreadsheets/d/1IYY_tgx_IHuhSq3AJ5eI5OnqOPBNLWSHKh2a30DoXe8/edit?usp=sharing"",""พัทลุง!I524"")"),158)</f>
        <v>158</v>
      </c>
      <c r="J629" s="347">
        <f ca="1">IFERROR(__xludf.DUMMYFUNCTION("IMPORTRANGE(""https://docs.google.com/spreadsheets/d/1IYY_tgx_IHuhSq3AJ5eI5OnqOPBNLWSHKh2a30DoXe8/edit?usp=sharing"",""พัทลุง!J524"")"),85)</f>
        <v>85</v>
      </c>
      <c r="K629" s="348">
        <f t="shared" ca="1" si="128"/>
        <v>53.797468354430379</v>
      </c>
      <c r="L629" s="348"/>
      <c r="M629" s="348"/>
      <c r="N629" s="348"/>
      <c r="O629" s="175"/>
      <c r="P629" s="175"/>
    </row>
    <row r="630" spans="1:16" ht="21.75" customHeight="1" x14ac:dyDescent="0.35">
      <c r="A630" s="484"/>
      <c r="B630" s="512" t="s">
        <v>234</v>
      </c>
      <c r="C630" s="163"/>
      <c r="D630" s="170"/>
      <c r="E630" s="171"/>
      <c r="F630" s="171"/>
      <c r="G630" s="164"/>
      <c r="H630" s="513" t="s">
        <v>12</v>
      </c>
      <c r="I630" s="347">
        <f ca="1">IFERROR(__xludf.DUMMYFUNCTION("IMPORTRANGE(""https://docs.google.com/spreadsheets/d/1IYY_tgx_IHuhSq3AJ5eI5OnqOPBNLWSHKh2a30DoXe8/edit?usp=sharing"",""พัทลุง!I525"")"),1351205.29)</f>
        <v>1351205.29</v>
      </c>
      <c r="J630" s="347">
        <f ca="1">IFERROR(__xludf.DUMMYFUNCTION("IMPORTRANGE(""https://docs.google.com/spreadsheets/d/1IYY_tgx_IHuhSq3AJ5eI5OnqOPBNLWSHKh2a30DoXe8/edit?usp=sharing"",""พัทลุง!J525"")"),68268.38)</f>
        <v>68268.38</v>
      </c>
      <c r="K630" s="348">
        <f t="shared" ca="1" si="128"/>
        <v>5.052406211346316</v>
      </c>
      <c r="L630" s="348"/>
      <c r="M630" s="348"/>
      <c r="N630" s="348"/>
      <c r="O630" s="175"/>
      <c r="P630" s="175"/>
    </row>
    <row r="631" spans="1:16" ht="21.75" customHeight="1" x14ac:dyDescent="0.35">
      <c r="A631" s="484"/>
      <c r="B631" s="163"/>
      <c r="C631" s="163"/>
      <c r="D631" s="170"/>
      <c r="E631" s="171"/>
      <c r="F631" s="171"/>
      <c r="G631" s="164"/>
      <c r="H631" s="513" t="s">
        <v>37</v>
      </c>
      <c r="I631" s="347">
        <f ca="1">IFERROR(__xludf.DUMMYFUNCTION("IMPORTRANGE(""https://docs.google.com/spreadsheets/d/1IYY_tgx_IHuhSq3AJ5eI5OnqOPBNLWSHKh2a30DoXe8/edit?usp=sharing"",""พัทลุง!I526"")"),57)</f>
        <v>57</v>
      </c>
      <c r="J631" s="347">
        <f ca="1">IFERROR(__xludf.DUMMYFUNCTION("IMPORTRANGE(""https://docs.google.com/spreadsheets/d/1IYY_tgx_IHuhSq3AJ5eI5OnqOPBNLWSHKh2a30DoXe8/edit?usp=sharing"",""พัทลุง!J526"")"),35)</f>
        <v>35</v>
      </c>
      <c r="K631" s="348">
        <f t="shared" ca="1" si="128"/>
        <v>61.403508771929822</v>
      </c>
      <c r="L631" s="348"/>
      <c r="M631" s="348"/>
      <c r="N631" s="348"/>
      <c r="O631" s="175"/>
      <c r="P631" s="175"/>
    </row>
    <row r="632" spans="1:16" ht="21.75" customHeight="1" x14ac:dyDescent="0.35">
      <c r="A632" s="484"/>
      <c r="B632" s="512" t="s">
        <v>235</v>
      </c>
      <c r="C632" s="163"/>
      <c r="D632" s="170"/>
      <c r="E632" s="171"/>
      <c r="F632" s="171"/>
      <c r="G632" s="164"/>
      <c r="H632" s="513" t="s">
        <v>12</v>
      </c>
      <c r="I632" s="347">
        <f ca="1">IFERROR(__xludf.DUMMYFUNCTION("IMPORTRANGE(""https://docs.google.com/spreadsheets/d/1IYY_tgx_IHuhSq3AJ5eI5OnqOPBNLWSHKh2a30DoXe8/edit?usp=sharing"",""พัทลุง!I527"")"),0)</f>
        <v>0</v>
      </c>
      <c r="J632" s="347">
        <f ca="1">IFERROR(__xludf.DUMMYFUNCTION("IMPORTRANGE(""https://docs.google.com/spreadsheets/d/1IYY_tgx_IHuhSq3AJ5eI5OnqOPBNLWSHKh2a30DoXe8/edit?usp=sharing"",""พัทลุง!J527"")"),0)</f>
        <v>0</v>
      </c>
      <c r="K632" s="348">
        <f t="shared" ca="1" si="128"/>
        <v>0</v>
      </c>
      <c r="L632" s="348"/>
      <c r="M632" s="348"/>
      <c r="N632" s="348"/>
      <c r="O632" s="175"/>
      <c r="P632" s="175"/>
    </row>
    <row r="633" spans="1:16" ht="21.75" customHeight="1" x14ac:dyDescent="0.35">
      <c r="A633" s="484"/>
      <c r="B633" s="512"/>
      <c r="C633" s="163"/>
      <c r="D633" s="170"/>
      <c r="E633" s="171"/>
      <c r="F633" s="171"/>
      <c r="G633" s="164"/>
      <c r="H633" s="513" t="s">
        <v>37</v>
      </c>
      <c r="I633" s="347">
        <f ca="1">IFERROR(__xludf.DUMMYFUNCTION("IMPORTRANGE(""https://docs.google.com/spreadsheets/d/1IYY_tgx_IHuhSq3AJ5eI5OnqOPBNLWSHKh2a30DoXe8/edit?usp=sharing"",""พัทลุง!I528"")"),0)</f>
        <v>0</v>
      </c>
      <c r="J633" s="347">
        <f ca="1">IFERROR(__xludf.DUMMYFUNCTION("IMPORTRANGE(""https://docs.google.com/spreadsheets/d/1IYY_tgx_IHuhSq3AJ5eI5OnqOPBNLWSHKh2a30DoXe8/edit?usp=sharing"",""พัทลุง!J528"")"),0)</f>
        <v>0</v>
      </c>
      <c r="K633" s="348">
        <f t="shared" ca="1" si="128"/>
        <v>0</v>
      </c>
      <c r="L633" s="348"/>
      <c r="M633" s="348"/>
      <c r="N633" s="348"/>
      <c r="O633" s="175"/>
      <c r="P633" s="175"/>
    </row>
    <row r="634" spans="1:16" ht="21.75" customHeight="1" x14ac:dyDescent="0.35">
      <c r="A634" s="484"/>
      <c r="B634" s="512" t="s">
        <v>236</v>
      </c>
      <c r="C634" s="163"/>
      <c r="D634" s="170"/>
      <c r="E634" s="171"/>
      <c r="F634" s="171"/>
      <c r="G634" s="164"/>
      <c r="H634" s="513" t="s">
        <v>12</v>
      </c>
      <c r="I634" s="347">
        <f ca="1">IFERROR(__xludf.DUMMYFUNCTION("IMPORTRANGE(""https://docs.google.com/spreadsheets/d/1IYY_tgx_IHuhSq3AJ5eI5OnqOPBNLWSHKh2a30DoXe8/edit?usp=sharing"",""พัทลุง!I529"")"),1220000)</f>
        <v>1220000</v>
      </c>
      <c r="J634" s="347">
        <f ca="1">IFERROR(__xludf.DUMMYFUNCTION("IMPORTRANGE(""https://docs.google.com/spreadsheets/d/1IYY_tgx_IHuhSq3AJ5eI5OnqOPBNLWSHKh2a30DoXe8/edit?usp=sharing"",""พัทลุง!J529"")"),825000)</f>
        <v>825000</v>
      </c>
      <c r="K634" s="348">
        <f t="shared" ca="1" si="128"/>
        <v>67.622950819672127</v>
      </c>
      <c r="L634" s="348"/>
      <c r="M634" s="348"/>
      <c r="N634" s="348"/>
      <c r="O634" s="175"/>
      <c r="P634" s="175"/>
    </row>
    <row r="635" spans="1:16" ht="21.75" customHeight="1" x14ac:dyDescent="0.35">
      <c r="A635" s="486"/>
      <c r="B635" s="488"/>
      <c r="C635" s="488"/>
      <c r="D635" s="487"/>
      <c r="E635" s="514"/>
      <c r="F635" s="514"/>
      <c r="G635" s="515"/>
      <c r="H635" s="516" t="s">
        <v>37</v>
      </c>
      <c r="I635" s="517">
        <f ca="1">IFERROR(__xludf.DUMMYFUNCTION("IMPORTRANGE(""https://docs.google.com/spreadsheets/d/1IYY_tgx_IHuhSq3AJ5eI5OnqOPBNLWSHKh2a30DoXe8/edit?usp=sharing"",""พัทลุง!I530"")"),41)</f>
        <v>41</v>
      </c>
      <c r="J635" s="517">
        <f ca="1">IFERROR(__xludf.DUMMYFUNCTION("IMPORTRANGE(""https://docs.google.com/spreadsheets/d/1IYY_tgx_IHuhSq3AJ5eI5OnqOPBNLWSHKh2a30DoXe8/edit?usp=sharing"",""พัทลุง!J530"")"),23)</f>
        <v>23</v>
      </c>
      <c r="K635" s="492">
        <f t="shared" ca="1" si="128"/>
        <v>56.097560975609753</v>
      </c>
      <c r="L635" s="492"/>
      <c r="M635" s="492"/>
      <c r="N635" s="492"/>
      <c r="O635" s="518"/>
      <c r="P635" s="518"/>
    </row>
    <row r="636" spans="1:16" ht="21.75" customHeight="1" x14ac:dyDescent="0.35">
      <c r="A636" s="519"/>
      <c r="B636" s="519"/>
      <c r="C636" s="519"/>
      <c r="D636" s="519"/>
      <c r="E636" s="520" t="s">
        <v>237</v>
      </c>
      <c r="F636" s="520"/>
      <c r="G636" s="521"/>
      <c r="H636" s="522"/>
      <c r="I636" s="522"/>
      <c r="J636" s="522"/>
      <c r="K636" s="523"/>
      <c r="L636" s="524"/>
      <c r="M636" s="524"/>
      <c r="N636" s="524"/>
      <c r="O636" s="525"/>
      <c r="P636" s="525"/>
    </row>
    <row r="637" spans="1:16" ht="21.75" customHeight="1" x14ac:dyDescent="0.35">
      <c r="A637" s="519"/>
      <c r="B637" s="519"/>
      <c r="C637" s="519"/>
      <c r="D637" s="519"/>
      <c r="E637" s="522"/>
      <c r="F637" s="522"/>
      <c r="G637" s="522"/>
      <c r="H637" s="522"/>
      <c r="I637" s="522"/>
      <c r="J637" s="522"/>
      <c r="K637" s="523"/>
      <c r="L637" s="524"/>
      <c r="M637" s="524"/>
      <c r="N637" s="524"/>
      <c r="O637" s="525"/>
      <c r="P637" s="525"/>
    </row>
    <row r="638" spans="1:16" ht="21.75" customHeight="1" x14ac:dyDescent="0.35">
      <c r="A638" s="519"/>
      <c r="B638" s="519"/>
      <c r="C638" s="519"/>
      <c r="D638" s="519"/>
      <c r="E638" s="522"/>
      <c r="F638" s="522"/>
      <c r="G638" s="522"/>
      <c r="H638" s="522"/>
      <c r="I638" s="522"/>
      <c r="J638" s="522"/>
      <c r="K638" s="523"/>
      <c r="L638" s="524"/>
      <c r="M638" s="524"/>
      <c r="N638" s="524"/>
      <c r="O638" s="525"/>
      <c r="P638" s="525"/>
    </row>
    <row r="639" spans="1:16" ht="21.75" customHeight="1" x14ac:dyDescent="0.35">
      <c r="A639" s="519"/>
      <c r="B639" s="519"/>
      <c r="C639" s="519"/>
      <c r="D639" s="519"/>
      <c r="E639" s="522"/>
      <c r="F639" s="522"/>
      <c r="G639" s="522"/>
      <c r="H639" s="522"/>
      <c r="I639" s="522"/>
      <c r="J639" s="522"/>
      <c r="K639" s="523"/>
      <c r="L639" s="524"/>
      <c r="M639" s="524"/>
      <c r="N639" s="524"/>
      <c r="O639" s="525"/>
      <c r="P639" s="525"/>
    </row>
    <row r="640" spans="1:16" ht="21.75" customHeight="1" x14ac:dyDescent="0.35">
      <c r="A640" s="519"/>
      <c r="B640" s="519"/>
      <c r="C640" s="519"/>
      <c r="D640" s="519"/>
      <c r="E640" s="522"/>
      <c r="F640" s="522"/>
      <c r="G640" s="522"/>
      <c r="H640" s="522"/>
      <c r="I640" s="522"/>
      <c r="J640" s="522"/>
      <c r="K640" s="523"/>
      <c r="L640" s="524"/>
      <c r="M640" s="524"/>
      <c r="N640" s="524"/>
      <c r="O640" s="525"/>
      <c r="P640" s="525"/>
    </row>
    <row r="641" spans="1:16" ht="21.75" customHeight="1" x14ac:dyDescent="0.35">
      <c r="A641" s="519"/>
      <c r="B641" s="519"/>
      <c r="C641" s="519"/>
      <c r="D641" s="519"/>
      <c r="E641" s="522"/>
      <c r="F641" s="522"/>
      <c r="G641" s="522"/>
      <c r="H641" s="522"/>
      <c r="I641" s="522"/>
      <c r="J641" s="522"/>
      <c r="K641" s="523"/>
      <c r="L641" s="524"/>
      <c r="M641" s="524"/>
      <c r="N641" s="524"/>
      <c r="O641" s="525"/>
      <c r="P641" s="525"/>
    </row>
    <row r="642" spans="1:16" ht="21.75" customHeight="1" x14ac:dyDescent="0.35">
      <c r="A642" s="519"/>
      <c r="B642" s="519"/>
      <c r="C642" s="519"/>
      <c r="D642" s="519"/>
      <c r="E642" s="522"/>
      <c r="F642" s="522"/>
      <c r="G642" s="522"/>
      <c r="H642" s="522"/>
      <c r="I642" s="522"/>
      <c r="J642" s="522"/>
      <c r="K642" s="523"/>
      <c r="L642" s="524"/>
      <c r="M642" s="524"/>
      <c r="N642" s="524"/>
      <c r="O642" s="525"/>
      <c r="P642" s="525"/>
    </row>
    <row r="643" spans="1:16" ht="21.75" customHeight="1" x14ac:dyDescent="0.35">
      <c r="A643" s="519"/>
      <c r="B643" s="519"/>
      <c r="C643" s="519"/>
      <c r="D643" s="519"/>
      <c r="E643" s="522"/>
      <c r="F643" s="522"/>
      <c r="G643" s="522"/>
      <c r="H643" s="522"/>
      <c r="I643" s="522"/>
      <c r="J643" s="522"/>
      <c r="K643" s="523"/>
      <c r="L643" s="524"/>
      <c r="M643" s="524"/>
      <c r="N643" s="524"/>
      <c r="O643" s="525"/>
      <c r="P643" s="525"/>
    </row>
    <row r="644" spans="1:16" ht="21.75" customHeight="1" x14ac:dyDescent="0.35">
      <c r="A644" s="519"/>
      <c r="B644" s="519"/>
      <c r="C644" s="519"/>
      <c r="D644" s="519"/>
      <c r="E644" s="522"/>
      <c r="F644" s="522"/>
      <c r="G644" s="522"/>
      <c r="H644" s="522"/>
      <c r="I644" s="522"/>
      <c r="J644" s="522"/>
      <c r="K644" s="523"/>
      <c r="L644" s="524"/>
      <c r="M644" s="524"/>
      <c r="N644" s="524"/>
      <c r="O644" s="525"/>
      <c r="P644" s="525"/>
    </row>
    <row r="645" spans="1:16" ht="21.75" customHeight="1" x14ac:dyDescent="0.35">
      <c r="A645" s="519"/>
      <c r="B645" s="519"/>
      <c r="C645" s="519"/>
      <c r="D645" s="519"/>
      <c r="E645" s="522"/>
      <c r="F645" s="522"/>
      <c r="G645" s="522"/>
      <c r="H645" s="522"/>
      <c r="I645" s="522"/>
      <c r="J645" s="522"/>
      <c r="K645" s="523"/>
      <c r="L645" s="524"/>
      <c r="M645" s="524"/>
      <c r="N645" s="524"/>
      <c r="O645" s="525"/>
      <c r="P645" s="525"/>
    </row>
    <row r="646" spans="1:16" ht="21.75" customHeight="1" x14ac:dyDescent="0.35">
      <c r="A646" s="519"/>
      <c r="B646" s="519"/>
      <c r="C646" s="519"/>
      <c r="D646" s="519"/>
      <c r="E646" s="522"/>
      <c r="F646" s="522"/>
      <c r="G646" s="522"/>
      <c r="H646" s="522"/>
      <c r="I646" s="522"/>
      <c r="J646" s="522"/>
      <c r="K646" s="523"/>
      <c r="L646" s="524"/>
      <c r="M646" s="524"/>
      <c r="N646" s="524"/>
      <c r="O646" s="525"/>
      <c r="P646" s="525"/>
    </row>
    <row r="647" spans="1:16" ht="21.75" customHeight="1" x14ac:dyDescent="0.35">
      <c r="A647" s="519"/>
      <c r="B647" s="519"/>
      <c r="C647" s="519"/>
      <c r="D647" s="519"/>
      <c r="E647" s="522"/>
      <c r="F647" s="522"/>
      <c r="G647" s="522"/>
      <c r="H647" s="522"/>
      <c r="I647" s="522"/>
      <c r="J647" s="522"/>
      <c r="K647" s="523"/>
      <c r="L647" s="524"/>
      <c r="M647" s="524"/>
      <c r="N647" s="524"/>
      <c r="O647" s="525"/>
      <c r="P647" s="525"/>
    </row>
    <row r="648" spans="1:16" ht="21.75" customHeight="1" x14ac:dyDescent="0.35">
      <c r="A648" s="519"/>
      <c r="B648" s="519"/>
      <c r="C648" s="519"/>
      <c r="D648" s="519"/>
      <c r="E648" s="522"/>
      <c r="F648" s="522"/>
      <c r="G648" s="522"/>
      <c r="H648" s="522"/>
      <c r="I648" s="522"/>
      <c r="J648" s="522"/>
      <c r="K648" s="523"/>
      <c r="L648" s="524"/>
      <c r="M648" s="524"/>
      <c r="N648" s="524"/>
      <c r="O648" s="525"/>
      <c r="P648" s="525"/>
    </row>
    <row r="649" spans="1:16" ht="21.75" customHeight="1" x14ac:dyDescent="0.35">
      <c r="A649" s="519"/>
      <c r="B649" s="519"/>
      <c r="C649" s="519"/>
      <c r="D649" s="519"/>
      <c r="E649" s="522"/>
      <c r="F649" s="522"/>
      <c r="G649" s="522"/>
      <c r="H649" s="522"/>
      <c r="I649" s="522"/>
      <c r="J649" s="522"/>
      <c r="K649" s="523"/>
      <c r="L649" s="524"/>
      <c r="M649" s="524"/>
      <c r="N649" s="524"/>
      <c r="O649" s="525"/>
      <c r="P649" s="525"/>
    </row>
    <row r="650" spans="1:16" ht="21.75" customHeight="1" x14ac:dyDescent="0.35">
      <c r="A650" s="519"/>
      <c r="B650" s="519"/>
      <c r="C650" s="519"/>
      <c r="D650" s="519"/>
      <c r="E650" s="522"/>
      <c r="F650" s="522"/>
      <c r="G650" s="522"/>
      <c r="H650" s="522"/>
      <c r="I650" s="522"/>
      <c r="J650" s="522"/>
      <c r="K650" s="523"/>
      <c r="L650" s="524"/>
      <c r="M650" s="524"/>
      <c r="N650" s="524"/>
      <c r="O650" s="525"/>
      <c r="P650" s="525"/>
    </row>
    <row r="651" spans="1:16" ht="21.75" customHeight="1" x14ac:dyDescent="0.35">
      <c r="A651" s="519"/>
      <c r="B651" s="519"/>
      <c r="C651" s="519"/>
      <c r="D651" s="519"/>
      <c r="E651" s="522"/>
      <c r="F651" s="522"/>
      <c r="G651" s="522"/>
      <c r="H651" s="522"/>
      <c r="I651" s="522"/>
      <c r="J651" s="522"/>
      <c r="K651" s="523"/>
      <c r="L651" s="524"/>
      <c r="M651" s="524"/>
      <c r="N651" s="524"/>
      <c r="O651" s="525"/>
      <c r="P651" s="525"/>
    </row>
    <row r="652" spans="1:16" ht="21.75" customHeight="1" x14ac:dyDescent="0.35">
      <c r="A652" s="519"/>
      <c r="B652" s="519"/>
      <c r="C652" s="519"/>
      <c r="D652" s="519"/>
      <c r="E652" s="522"/>
      <c r="F652" s="522"/>
      <c r="G652" s="522"/>
      <c r="H652" s="522"/>
      <c r="I652" s="522"/>
      <c r="J652" s="522"/>
      <c r="K652" s="523"/>
      <c r="L652" s="524"/>
      <c r="M652" s="524"/>
      <c r="N652" s="524"/>
      <c r="O652" s="525"/>
      <c r="P652" s="525"/>
    </row>
    <row r="653" spans="1:16" ht="21.75" customHeight="1" x14ac:dyDescent="0.35">
      <c r="A653" s="519"/>
      <c r="B653" s="519"/>
      <c r="C653" s="519"/>
      <c r="D653" s="519"/>
      <c r="E653" s="522"/>
      <c r="F653" s="522"/>
      <c r="G653" s="522"/>
      <c r="H653" s="522"/>
      <c r="I653" s="522"/>
      <c r="J653" s="522"/>
      <c r="K653" s="523"/>
      <c r="L653" s="524"/>
      <c r="M653" s="524"/>
      <c r="N653" s="524"/>
      <c r="O653" s="525"/>
      <c r="P653" s="525"/>
    </row>
    <row r="654" spans="1:16" ht="21.75" customHeight="1" x14ac:dyDescent="0.35">
      <c r="A654" s="519"/>
      <c r="B654" s="519"/>
      <c r="C654" s="519"/>
      <c r="D654" s="519"/>
      <c r="E654" s="522"/>
      <c r="F654" s="522"/>
      <c r="G654" s="522"/>
      <c r="H654" s="522"/>
      <c r="I654" s="522"/>
      <c r="J654" s="522"/>
      <c r="K654" s="523"/>
      <c r="L654" s="524"/>
      <c r="M654" s="524"/>
      <c r="N654" s="524"/>
      <c r="O654" s="525"/>
      <c r="P654" s="525"/>
    </row>
    <row r="655" spans="1:16" ht="21.75" customHeight="1" x14ac:dyDescent="0.35">
      <c r="A655" s="519"/>
      <c r="B655" s="519"/>
      <c r="C655" s="519"/>
      <c r="D655" s="519"/>
      <c r="E655" s="522"/>
      <c r="F655" s="522"/>
      <c r="G655" s="522"/>
      <c r="H655" s="522"/>
      <c r="I655" s="522"/>
      <c r="J655" s="522"/>
      <c r="K655" s="523"/>
      <c r="L655" s="524"/>
      <c r="M655" s="524"/>
      <c r="N655" s="524"/>
      <c r="O655" s="525"/>
      <c r="P655" s="525"/>
    </row>
    <row r="656" spans="1:16" ht="21.75" customHeight="1" x14ac:dyDescent="0.35">
      <c r="A656" s="519"/>
      <c r="B656" s="519"/>
      <c r="C656" s="519"/>
      <c r="D656" s="519"/>
      <c r="E656" s="522"/>
      <c r="F656" s="522"/>
      <c r="G656" s="522"/>
      <c r="H656" s="522"/>
      <c r="I656" s="522"/>
      <c r="J656" s="522"/>
      <c r="K656" s="523"/>
      <c r="L656" s="524"/>
      <c r="M656" s="524"/>
      <c r="N656" s="524"/>
      <c r="O656" s="525"/>
      <c r="P656" s="525"/>
    </row>
    <row r="657" spans="1:16" ht="21.75" customHeight="1" x14ac:dyDescent="0.35">
      <c r="A657" s="519"/>
      <c r="B657" s="519"/>
      <c r="C657" s="519"/>
      <c r="D657" s="519"/>
      <c r="E657" s="522"/>
      <c r="F657" s="522"/>
      <c r="G657" s="522"/>
      <c r="H657" s="522"/>
      <c r="I657" s="522"/>
      <c r="J657" s="522"/>
      <c r="K657" s="523"/>
      <c r="L657" s="524"/>
      <c r="M657" s="524"/>
      <c r="N657" s="524"/>
      <c r="O657" s="525"/>
      <c r="P657" s="525"/>
    </row>
    <row r="658" spans="1:16" ht="21.75" customHeight="1" x14ac:dyDescent="0.35">
      <c r="A658" s="519"/>
      <c r="B658" s="519"/>
      <c r="C658" s="519"/>
      <c r="D658" s="519"/>
      <c r="E658" s="522"/>
      <c r="F658" s="522"/>
      <c r="G658" s="522"/>
      <c r="H658" s="522"/>
      <c r="I658" s="522"/>
      <c r="J658" s="522"/>
      <c r="K658" s="523"/>
      <c r="L658" s="524"/>
      <c r="M658" s="524"/>
      <c r="N658" s="524"/>
      <c r="O658" s="525"/>
      <c r="P658" s="525"/>
    </row>
    <row r="659" spans="1:16" ht="21.75" customHeight="1" x14ac:dyDescent="0.35">
      <c r="A659" s="519"/>
      <c r="B659" s="519"/>
      <c r="C659" s="519"/>
      <c r="D659" s="519"/>
      <c r="E659" s="522"/>
      <c r="F659" s="522"/>
      <c r="G659" s="522"/>
      <c r="H659" s="522"/>
      <c r="I659" s="522"/>
      <c r="J659" s="522"/>
      <c r="K659" s="523"/>
      <c r="L659" s="524"/>
      <c r="M659" s="524"/>
      <c r="N659" s="524"/>
      <c r="O659" s="525"/>
      <c r="P659" s="525"/>
    </row>
    <row r="660" spans="1:16" ht="21.75" customHeight="1" x14ac:dyDescent="0.35">
      <c r="A660" s="519"/>
      <c r="B660" s="519"/>
      <c r="C660" s="519"/>
      <c r="D660" s="519"/>
      <c r="E660" s="522"/>
      <c r="F660" s="522"/>
      <c r="G660" s="522"/>
      <c r="H660" s="522"/>
      <c r="I660" s="522"/>
      <c r="J660" s="522"/>
      <c r="K660" s="523"/>
      <c r="L660" s="524"/>
      <c r="M660" s="524"/>
      <c r="N660" s="524"/>
      <c r="O660" s="525"/>
      <c r="P660" s="525"/>
    </row>
    <row r="661" spans="1:16" ht="21.75" customHeight="1" x14ac:dyDescent="0.35">
      <c r="A661" s="519"/>
      <c r="B661" s="519"/>
      <c r="C661" s="519"/>
      <c r="D661" s="519"/>
      <c r="E661" s="522"/>
      <c r="F661" s="522"/>
      <c r="G661" s="522"/>
      <c r="H661" s="522"/>
      <c r="I661" s="522"/>
      <c r="J661" s="522"/>
      <c r="K661" s="523"/>
      <c r="L661" s="524"/>
      <c r="M661" s="524"/>
      <c r="N661" s="524"/>
      <c r="O661" s="525"/>
      <c r="P661" s="525"/>
    </row>
    <row r="662" spans="1:16" ht="21.75" customHeight="1" x14ac:dyDescent="0.35">
      <c r="A662" s="519"/>
      <c r="B662" s="519"/>
      <c r="C662" s="519"/>
      <c r="D662" s="519"/>
      <c r="E662" s="522"/>
      <c r="F662" s="522"/>
      <c r="G662" s="522"/>
      <c r="H662" s="522"/>
      <c r="I662" s="522"/>
      <c r="J662" s="522"/>
      <c r="K662" s="523"/>
      <c r="L662" s="524"/>
      <c r="M662" s="524"/>
      <c r="N662" s="524"/>
      <c r="O662" s="525"/>
      <c r="P662" s="525"/>
    </row>
    <row r="663" spans="1:16" ht="21.75" customHeight="1" x14ac:dyDescent="0.35">
      <c r="A663" s="519"/>
      <c r="B663" s="519"/>
      <c r="C663" s="519"/>
      <c r="D663" s="519"/>
      <c r="E663" s="522"/>
      <c r="F663" s="522"/>
      <c r="G663" s="522"/>
      <c r="H663" s="522"/>
      <c r="I663" s="522"/>
      <c r="J663" s="522"/>
      <c r="K663" s="523"/>
      <c r="L663" s="524"/>
      <c r="M663" s="524"/>
      <c r="N663" s="524"/>
      <c r="O663" s="525"/>
      <c r="P663" s="525"/>
    </row>
    <row r="664" spans="1:16" ht="21.75" customHeight="1" x14ac:dyDescent="0.35">
      <c r="A664" s="519"/>
      <c r="B664" s="519"/>
      <c r="C664" s="519"/>
      <c r="D664" s="519"/>
      <c r="E664" s="522"/>
      <c r="F664" s="522"/>
      <c r="G664" s="522"/>
      <c r="H664" s="522"/>
      <c r="I664" s="522"/>
      <c r="J664" s="522"/>
      <c r="K664" s="523"/>
      <c r="L664" s="524"/>
      <c r="M664" s="524"/>
      <c r="N664" s="524"/>
      <c r="O664" s="525"/>
      <c r="P664" s="525"/>
    </row>
    <row r="665" spans="1:16" ht="21.75" customHeight="1" x14ac:dyDescent="0.35">
      <c r="A665" s="519"/>
      <c r="B665" s="519"/>
      <c r="C665" s="519"/>
      <c r="D665" s="519"/>
      <c r="E665" s="522"/>
      <c r="F665" s="522"/>
      <c r="G665" s="522"/>
      <c r="H665" s="522"/>
      <c r="I665" s="522"/>
      <c r="J665" s="522"/>
      <c r="K665" s="523"/>
      <c r="L665" s="524"/>
      <c r="M665" s="524"/>
      <c r="N665" s="524"/>
      <c r="O665" s="525"/>
      <c r="P665" s="525"/>
    </row>
    <row r="666" spans="1:16" ht="21.75" customHeight="1" x14ac:dyDescent="0.35">
      <c r="A666" s="519"/>
      <c r="B666" s="519"/>
      <c r="C666" s="519"/>
      <c r="D666" s="519"/>
      <c r="E666" s="522"/>
      <c r="F666" s="522"/>
      <c r="G666" s="522"/>
      <c r="H666" s="522"/>
      <c r="I666" s="522"/>
      <c r="J666" s="522"/>
      <c r="K666" s="523"/>
      <c r="L666" s="524"/>
      <c r="M666" s="524"/>
      <c r="N666" s="524"/>
      <c r="O666" s="525"/>
      <c r="P666" s="525"/>
    </row>
    <row r="667" spans="1:16" ht="21.75" customHeight="1" x14ac:dyDescent="0.35">
      <c r="A667" s="519"/>
      <c r="B667" s="519"/>
      <c r="C667" s="519"/>
      <c r="D667" s="519"/>
      <c r="E667" s="522"/>
      <c r="F667" s="522"/>
      <c r="G667" s="522"/>
      <c r="H667" s="522"/>
      <c r="I667" s="522"/>
      <c r="J667" s="522"/>
      <c r="K667" s="523"/>
      <c r="L667" s="524"/>
      <c r="M667" s="524"/>
      <c r="N667" s="524"/>
      <c r="O667" s="525"/>
      <c r="P667" s="525"/>
    </row>
    <row r="668" spans="1:16" ht="21.75" customHeight="1" x14ac:dyDescent="0.35">
      <c r="A668" s="519"/>
      <c r="B668" s="519"/>
      <c r="C668" s="519"/>
      <c r="D668" s="519"/>
      <c r="E668" s="522"/>
      <c r="F668" s="522"/>
      <c r="G668" s="522"/>
      <c r="H668" s="522"/>
      <c r="I668" s="522"/>
      <c r="J668" s="522"/>
      <c r="K668" s="523"/>
      <c r="L668" s="524"/>
      <c r="M668" s="524"/>
      <c r="N668" s="524"/>
      <c r="O668" s="525"/>
      <c r="P668" s="525"/>
    </row>
    <row r="669" spans="1:16" ht="21.75" customHeight="1" x14ac:dyDescent="0.35">
      <c r="A669" s="519"/>
      <c r="B669" s="519"/>
      <c r="C669" s="519"/>
      <c r="D669" s="519"/>
      <c r="E669" s="522"/>
      <c r="F669" s="522"/>
      <c r="G669" s="522"/>
      <c r="H669" s="522"/>
      <c r="I669" s="522"/>
      <c r="J669" s="522"/>
      <c r="K669" s="523"/>
      <c r="L669" s="524"/>
      <c r="M669" s="524"/>
      <c r="N669" s="524"/>
      <c r="O669" s="525"/>
      <c r="P669" s="525"/>
    </row>
    <row r="670" spans="1:16" ht="21.75" customHeight="1" x14ac:dyDescent="0.35">
      <c r="A670" s="519"/>
      <c r="B670" s="519"/>
      <c r="C670" s="519"/>
      <c r="D670" s="519"/>
      <c r="E670" s="522"/>
      <c r="F670" s="522"/>
      <c r="G670" s="522"/>
      <c r="H670" s="522"/>
      <c r="I670" s="522"/>
      <c r="J670" s="522"/>
      <c r="K670" s="523"/>
      <c r="L670" s="524"/>
      <c r="M670" s="524"/>
      <c r="N670" s="524"/>
      <c r="O670" s="525"/>
      <c r="P670" s="525"/>
    </row>
    <row r="671" spans="1:16" ht="21.75" customHeight="1" x14ac:dyDescent="0.35">
      <c r="A671" s="519"/>
      <c r="B671" s="519"/>
      <c r="C671" s="519"/>
      <c r="D671" s="519"/>
      <c r="E671" s="522"/>
      <c r="F671" s="522"/>
      <c r="G671" s="522"/>
      <c r="H671" s="522"/>
      <c r="I671" s="522"/>
      <c r="J671" s="522"/>
      <c r="K671" s="523"/>
      <c r="L671" s="524"/>
      <c r="M671" s="524"/>
      <c r="N671" s="524"/>
      <c r="O671" s="525"/>
      <c r="P671" s="525"/>
    </row>
    <row r="672" spans="1:16" ht="21.75" customHeight="1" x14ac:dyDescent="0.35">
      <c r="A672" s="519"/>
      <c r="B672" s="519"/>
      <c r="C672" s="519"/>
      <c r="D672" s="519"/>
      <c r="E672" s="522"/>
      <c r="F672" s="522"/>
      <c r="G672" s="522"/>
      <c r="H672" s="522"/>
      <c r="I672" s="522"/>
      <c r="J672" s="522"/>
      <c r="K672" s="523"/>
      <c r="L672" s="524"/>
      <c r="M672" s="524"/>
      <c r="N672" s="524"/>
      <c r="O672" s="525"/>
      <c r="P672" s="525"/>
    </row>
    <row r="673" spans="1:16" ht="21.75" customHeight="1" x14ac:dyDescent="0.35">
      <c r="A673" s="519"/>
      <c r="B673" s="519"/>
      <c r="C673" s="519"/>
      <c r="D673" s="519"/>
      <c r="E673" s="522"/>
      <c r="F673" s="522"/>
      <c r="G673" s="522"/>
      <c r="H673" s="522"/>
      <c r="I673" s="522"/>
      <c r="J673" s="522"/>
      <c r="K673" s="523"/>
      <c r="L673" s="524"/>
      <c r="M673" s="524"/>
      <c r="N673" s="524"/>
      <c r="O673" s="525"/>
      <c r="P673" s="525"/>
    </row>
    <row r="674" spans="1:16" ht="21.75" customHeight="1" x14ac:dyDescent="0.35">
      <c r="A674" s="519"/>
      <c r="B674" s="519"/>
      <c r="C674" s="519"/>
      <c r="D674" s="519"/>
      <c r="E674" s="522"/>
      <c r="F674" s="522"/>
      <c r="G674" s="522"/>
      <c r="H674" s="522"/>
      <c r="I674" s="522"/>
      <c r="J674" s="522"/>
      <c r="K674" s="523"/>
      <c r="L674" s="524"/>
      <c r="M674" s="524"/>
      <c r="N674" s="524"/>
      <c r="O674" s="525"/>
      <c r="P674" s="525"/>
    </row>
    <row r="675" spans="1:16" ht="21.75" customHeight="1" x14ac:dyDescent="0.35">
      <c r="A675" s="519"/>
      <c r="B675" s="519"/>
      <c r="C675" s="519"/>
      <c r="D675" s="519"/>
      <c r="E675" s="522"/>
      <c r="F675" s="522"/>
      <c r="G675" s="522"/>
      <c r="H675" s="522"/>
      <c r="I675" s="522"/>
      <c r="J675" s="522"/>
      <c r="K675" s="523"/>
      <c r="L675" s="524"/>
      <c r="M675" s="524"/>
      <c r="N675" s="524"/>
      <c r="O675" s="525"/>
      <c r="P675" s="525"/>
    </row>
    <row r="676" spans="1:16" ht="21.75" customHeight="1" x14ac:dyDescent="0.35">
      <c r="A676" s="519"/>
      <c r="B676" s="519"/>
      <c r="C676" s="519"/>
      <c r="D676" s="519"/>
      <c r="E676" s="522"/>
      <c r="F676" s="522"/>
      <c r="G676" s="522"/>
      <c r="H676" s="522"/>
      <c r="I676" s="522"/>
      <c r="J676" s="522"/>
      <c r="K676" s="523"/>
      <c r="L676" s="524"/>
      <c r="M676" s="524"/>
      <c r="N676" s="524"/>
      <c r="O676" s="525"/>
      <c r="P676" s="525"/>
    </row>
    <row r="677" spans="1:16" ht="21.75" customHeight="1" x14ac:dyDescent="0.35">
      <c r="A677" s="519"/>
      <c r="B677" s="519"/>
      <c r="C677" s="519"/>
      <c r="D677" s="519"/>
      <c r="E677" s="522"/>
      <c r="F677" s="522"/>
      <c r="G677" s="522"/>
      <c r="H677" s="522"/>
      <c r="I677" s="522"/>
      <c r="J677" s="522"/>
      <c r="K677" s="523"/>
      <c r="L677" s="524"/>
      <c r="M677" s="524"/>
      <c r="N677" s="524"/>
      <c r="O677" s="525"/>
      <c r="P677" s="525"/>
    </row>
    <row r="678" spans="1:16" ht="21.75" customHeight="1" x14ac:dyDescent="0.35">
      <c r="A678" s="519"/>
      <c r="B678" s="519"/>
      <c r="C678" s="519"/>
      <c r="D678" s="519"/>
      <c r="E678" s="522"/>
      <c r="F678" s="522"/>
      <c r="G678" s="522"/>
      <c r="H678" s="522"/>
      <c r="I678" s="522"/>
      <c r="J678" s="522"/>
      <c r="K678" s="523"/>
      <c r="L678" s="524"/>
      <c r="M678" s="524"/>
      <c r="N678" s="524"/>
      <c r="O678" s="525"/>
      <c r="P678" s="525"/>
    </row>
    <row r="679" spans="1:16" ht="21.75" customHeight="1" x14ac:dyDescent="0.35">
      <c r="A679" s="519"/>
      <c r="B679" s="519"/>
      <c r="C679" s="519"/>
      <c r="D679" s="519"/>
      <c r="E679" s="522"/>
      <c r="F679" s="522"/>
      <c r="G679" s="522"/>
      <c r="H679" s="522"/>
      <c r="I679" s="522"/>
      <c r="J679" s="522"/>
      <c r="K679" s="523"/>
      <c r="L679" s="524"/>
      <c r="M679" s="524"/>
      <c r="N679" s="524"/>
      <c r="O679" s="525"/>
      <c r="P679" s="525"/>
    </row>
    <row r="680" spans="1:16" ht="21.75" customHeight="1" x14ac:dyDescent="0.35">
      <c r="A680" s="519"/>
      <c r="B680" s="519"/>
      <c r="C680" s="519"/>
      <c r="D680" s="519"/>
      <c r="E680" s="522"/>
      <c r="F680" s="522"/>
      <c r="G680" s="522"/>
      <c r="H680" s="522"/>
      <c r="I680" s="522"/>
      <c r="J680" s="522"/>
      <c r="K680" s="523"/>
      <c r="L680" s="524"/>
      <c r="M680" s="524"/>
      <c r="N680" s="524"/>
      <c r="O680" s="525"/>
      <c r="P680" s="525"/>
    </row>
    <row r="681" spans="1:16" ht="21.75" customHeight="1" x14ac:dyDescent="0.35">
      <c r="A681" s="519"/>
      <c r="B681" s="519"/>
      <c r="C681" s="519"/>
      <c r="D681" s="519"/>
      <c r="E681" s="522"/>
      <c r="F681" s="522"/>
      <c r="G681" s="522"/>
      <c r="H681" s="522"/>
      <c r="I681" s="522"/>
      <c r="J681" s="522"/>
      <c r="K681" s="523"/>
      <c r="L681" s="524"/>
      <c r="M681" s="524"/>
      <c r="N681" s="524"/>
      <c r="O681" s="525"/>
      <c r="P681" s="525"/>
    </row>
    <row r="682" spans="1:16" ht="21.75" customHeight="1" x14ac:dyDescent="0.35">
      <c r="A682" s="519"/>
      <c r="B682" s="519"/>
      <c r="C682" s="519"/>
      <c r="D682" s="519"/>
      <c r="E682" s="522"/>
      <c r="F682" s="522"/>
      <c r="G682" s="522"/>
      <c r="H682" s="522"/>
      <c r="I682" s="522"/>
      <c r="J682" s="522"/>
      <c r="K682" s="523"/>
      <c r="L682" s="524"/>
      <c r="M682" s="524"/>
      <c r="N682" s="524"/>
      <c r="O682" s="525"/>
      <c r="P682" s="525"/>
    </row>
    <row r="683" spans="1:16" ht="21.75" customHeight="1" x14ac:dyDescent="0.35">
      <c r="A683" s="519"/>
      <c r="B683" s="519"/>
      <c r="C683" s="519"/>
      <c r="D683" s="519"/>
      <c r="E683" s="522"/>
      <c r="F683" s="522"/>
      <c r="G683" s="522"/>
      <c r="H683" s="522"/>
      <c r="I683" s="522"/>
      <c r="J683" s="522"/>
      <c r="K683" s="523"/>
      <c r="L683" s="524"/>
      <c r="M683" s="524"/>
      <c r="N683" s="524"/>
      <c r="O683" s="525"/>
      <c r="P683" s="525"/>
    </row>
    <row r="684" spans="1:16" ht="21.75" customHeight="1" x14ac:dyDescent="0.35">
      <c r="A684" s="519"/>
      <c r="B684" s="519"/>
      <c r="C684" s="519"/>
      <c r="D684" s="519"/>
      <c r="E684" s="522"/>
      <c r="F684" s="522"/>
      <c r="G684" s="522"/>
      <c r="H684" s="522"/>
      <c r="I684" s="522"/>
      <c r="J684" s="522"/>
      <c r="K684" s="523"/>
      <c r="L684" s="524"/>
      <c r="M684" s="524"/>
      <c r="N684" s="524"/>
      <c r="O684" s="525"/>
      <c r="P684" s="525"/>
    </row>
    <row r="685" spans="1:16" ht="21.75" customHeight="1" x14ac:dyDescent="0.35">
      <c r="A685" s="519"/>
      <c r="B685" s="519"/>
      <c r="C685" s="519"/>
      <c r="D685" s="519"/>
      <c r="E685" s="522"/>
      <c r="F685" s="522"/>
      <c r="G685" s="522"/>
      <c r="H685" s="522"/>
      <c r="I685" s="522"/>
      <c r="J685" s="522"/>
      <c r="K685" s="523"/>
      <c r="L685" s="524"/>
      <c r="M685" s="524"/>
      <c r="N685" s="524"/>
      <c r="O685" s="525"/>
      <c r="P685" s="525"/>
    </row>
    <row r="686" spans="1:16" ht="21.75" customHeight="1" x14ac:dyDescent="0.35">
      <c r="A686" s="519"/>
      <c r="B686" s="519"/>
      <c r="C686" s="519"/>
      <c r="D686" s="519"/>
      <c r="E686" s="522"/>
      <c r="F686" s="522"/>
      <c r="G686" s="522"/>
      <c r="H686" s="522"/>
      <c r="I686" s="522"/>
      <c r="J686" s="522"/>
      <c r="K686" s="523"/>
      <c r="L686" s="524"/>
      <c r="M686" s="524"/>
      <c r="N686" s="524"/>
      <c r="O686" s="525"/>
      <c r="P686" s="525"/>
    </row>
    <row r="687" spans="1:16" ht="21.75" customHeight="1" x14ac:dyDescent="0.35">
      <c r="A687" s="519"/>
      <c r="B687" s="519"/>
      <c r="C687" s="519"/>
      <c r="D687" s="519"/>
      <c r="E687" s="522"/>
      <c r="F687" s="522"/>
      <c r="G687" s="522"/>
      <c r="H687" s="522"/>
      <c r="I687" s="522"/>
      <c r="J687" s="522"/>
      <c r="K687" s="523"/>
      <c r="L687" s="524"/>
      <c r="M687" s="524"/>
      <c r="N687" s="524"/>
      <c r="O687" s="525"/>
      <c r="P687" s="525"/>
    </row>
    <row r="688" spans="1:16" ht="21.75" customHeight="1" x14ac:dyDescent="0.35">
      <c r="A688" s="519"/>
      <c r="B688" s="519"/>
      <c r="C688" s="519"/>
      <c r="D688" s="519"/>
      <c r="E688" s="522"/>
      <c r="F688" s="522"/>
      <c r="G688" s="522"/>
      <c r="H688" s="522"/>
      <c r="I688" s="522"/>
      <c r="J688" s="522"/>
      <c r="K688" s="523"/>
      <c r="L688" s="524"/>
      <c r="M688" s="524"/>
      <c r="N688" s="524"/>
      <c r="O688" s="525"/>
      <c r="P688" s="525"/>
    </row>
    <row r="689" spans="1:16" ht="21.75" customHeight="1" x14ac:dyDescent="0.35">
      <c r="A689" s="519"/>
      <c r="B689" s="519"/>
      <c r="C689" s="519"/>
      <c r="D689" s="519"/>
      <c r="E689" s="522"/>
      <c r="F689" s="522"/>
      <c r="G689" s="522"/>
      <c r="H689" s="522"/>
      <c r="I689" s="522"/>
      <c r="J689" s="522"/>
      <c r="K689" s="523"/>
      <c r="L689" s="524"/>
      <c r="M689" s="524"/>
      <c r="N689" s="524"/>
      <c r="O689" s="525"/>
      <c r="P689" s="525"/>
    </row>
    <row r="690" spans="1:16" ht="21.75" customHeight="1" x14ac:dyDescent="0.35">
      <c r="A690" s="519"/>
      <c r="B690" s="519"/>
      <c r="C690" s="519"/>
      <c r="D690" s="519"/>
      <c r="E690" s="522"/>
      <c r="F690" s="522"/>
      <c r="G690" s="522"/>
      <c r="H690" s="522"/>
      <c r="I690" s="522"/>
      <c r="J690" s="522"/>
      <c r="K690" s="523"/>
      <c r="L690" s="524"/>
      <c r="M690" s="524"/>
      <c r="N690" s="524"/>
      <c r="O690" s="525"/>
      <c r="P690" s="525"/>
    </row>
    <row r="691" spans="1:16" ht="21.75" customHeight="1" x14ac:dyDescent="0.35">
      <c r="A691" s="519"/>
      <c r="B691" s="519"/>
      <c r="C691" s="519"/>
      <c r="D691" s="519"/>
      <c r="E691" s="522"/>
      <c r="F691" s="522"/>
      <c r="G691" s="522"/>
      <c r="H691" s="522"/>
      <c r="I691" s="522"/>
      <c r="J691" s="522"/>
      <c r="K691" s="523"/>
      <c r="L691" s="524"/>
      <c r="M691" s="524"/>
      <c r="N691" s="524"/>
      <c r="O691" s="525"/>
      <c r="P691" s="525"/>
    </row>
    <row r="692" spans="1:16" ht="21.75" customHeight="1" x14ac:dyDescent="0.35">
      <c r="A692" s="519"/>
      <c r="B692" s="519"/>
      <c r="C692" s="519"/>
      <c r="D692" s="519"/>
      <c r="E692" s="522"/>
      <c r="F692" s="522"/>
      <c r="G692" s="522"/>
      <c r="H692" s="522"/>
      <c r="I692" s="522"/>
      <c r="J692" s="522"/>
      <c r="K692" s="523"/>
      <c r="L692" s="524"/>
      <c r="M692" s="524"/>
      <c r="N692" s="524"/>
      <c r="O692" s="525"/>
      <c r="P692" s="525"/>
    </row>
    <row r="693" spans="1:16" ht="21.75" customHeight="1" x14ac:dyDescent="0.35">
      <c r="A693" s="519"/>
      <c r="B693" s="519"/>
      <c r="C693" s="519"/>
      <c r="D693" s="519"/>
      <c r="E693" s="522"/>
      <c r="F693" s="522"/>
      <c r="G693" s="522"/>
      <c r="H693" s="522"/>
      <c r="I693" s="522"/>
      <c r="J693" s="522"/>
      <c r="K693" s="523"/>
      <c r="L693" s="524"/>
      <c r="M693" s="524"/>
      <c r="N693" s="524"/>
      <c r="O693" s="525"/>
      <c r="P693" s="525"/>
    </row>
    <row r="694" spans="1:16" ht="21.75" customHeight="1" x14ac:dyDescent="0.35">
      <c r="A694" s="519"/>
      <c r="B694" s="519"/>
      <c r="C694" s="519"/>
      <c r="D694" s="519"/>
      <c r="E694" s="522"/>
      <c r="F694" s="522"/>
      <c r="G694" s="522"/>
      <c r="H694" s="522"/>
      <c r="I694" s="522"/>
      <c r="J694" s="522"/>
      <c r="K694" s="523"/>
      <c r="L694" s="524"/>
      <c r="M694" s="524"/>
      <c r="N694" s="524"/>
      <c r="O694" s="525"/>
      <c r="P694" s="525"/>
    </row>
    <row r="695" spans="1:16" ht="21.75" customHeight="1" x14ac:dyDescent="0.35">
      <c r="A695" s="519"/>
      <c r="B695" s="519"/>
      <c r="C695" s="519"/>
      <c r="D695" s="519"/>
      <c r="E695" s="522"/>
      <c r="F695" s="522"/>
      <c r="G695" s="522"/>
      <c r="H695" s="522"/>
      <c r="I695" s="522"/>
      <c r="J695" s="522"/>
      <c r="K695" s="523"/>
      <c r="L695" s="524"/>
      <c r="M695" s="524"/>
      <c r="N695" s="524"/>
      <c r="O695" s="525"/>
      <c r="P695" s="525"/>
    </row>
    <row r="696" spans="1:16" ht="21.75" customHeight="1" x14ac:dyDescent="0.35">
      <c r="A696" s="519"/>
      <c r="B696" s="519"/>
      <c r="C696" s="519"/>
      <c r="D696" s="519"/>
      <c r="E696" s="522"/>
      <c r="F696" s="522"/>
      <c r="G696" s="522"/>
      <c r="H696" s="522"/>
      <c r="I696" s="522"/>
      <c r="J696" s="522"/>
      <c r="K696" s="523"/>
      <c r="L696" s="524"/>
      <c r="M696" s="524"/>
      <c r="N696" s="524"/>
      <c r="O696" s="525"/>
      <c r="P696" s="525"/>
    </row>
    <row r="697" spans="1:16" ht="21.75" customHeight="1" x14ac:dyDescent="0.35">
      <c r="A697" s="519"/>
      <c r="B697" s="519"/>
      <c r="C697" s="519"/>
      <c r="D697" s="519"/>
      <c r="E697" s="522"/>
      <c r="F697" s="522"/>
      <c r="G697" s="522"/>
      <c r="H697" s="522"/>
      <c r="I697" s="522"/>
      <c r="J697" s="522"/>
      <c r="K697" s="523"/>
      <c r="L697" s="524"/>
      <c r="M697" s="524"/>
      <c r="N697" s="524"/>
      <c r="O697" s="525"/>
      <c r="P697" s="525"/>
    </row>
    <row r="698" spans="1:16" ht="21.75" customHeight="1" x14ac:dyDescent="0.35">
      <c r="A698" s="519"/>
      <c r="B698" s="519"/>
      <c r="C698" s="519"/>
      <c r="D698" s="519"/>
      <c r="E698" s="522"/>
      <c r="F698" s="522"/>
      <c r="G698" s="522"/>
      <c r="H698" s="522"/>
      <c r="I698" s="522"/>
      <c r="J698" s="522"/>
      <c r="K698" s="523"/>
      <c r="L698" s="524"/>
      <c r="M698" s="524"/>
      <c r="N698" s="524"/>
      <c r="O698" s="525"/>
      <c r="P698" s="525"/>
    </row>
    <row r="699" spans="1:16" ht="21.75" customHeight="1" x14ac:dyDescent="0.35">
      <c r="A699" s="519"/>
      <c r="B699" s="519"/>
      <c r="C699" s="519"/>
      <c r="D699" s="519"/>
      <c r="E699" s="522"/>
      <c r="F699" s="522"/>
      <c r="G699" s="522"/>
      <c r="H699" s="522"/>
      <c r="I699" s="522"/>
      <c r="J699" s="522"/>
      <c r="K699" s="523"/>
      <c r="L699" s="524"/>
      <c r="M699" s="524"/>
      <c r="N699" s="524"/>
      <c r="O699" s="525"/>
      <c r="P699" s="525"/>
    </row>
    <row r="700" spans="1:16" ht="21.75" customHeight="1" x14ac:dyDescent="0.35">
      <c r="A700" s="519"/>
      <c r="B700" s="519"/>
      <c r="C700" s="519"/>
      <c r="D700" s="519"/>
      <c r="E700" s="522"/>
      <c r="F700" s="522"/>
      <c r="G700" s="522"/>
      <c r="H700" s="522"/>
      <c r="I700" s="522"/>
      <c r="J700" s="522"/>
      <c r="K700" s="523"/>
      <c r="L700" s="524"/>
      <c r="M700" s="524"/>
      <c r="N700" s="524"/>
      <c r="O700" s="525"/>
      <c r="P700" s="525"/>
    </row>
    <row r="701" spans="1:16" ht="21.75" customHeight="1" x14ac:dyDescent="0.35">
      <c r="A701" s="519"/>
      <c r="B701" s="519"/>
      <c r="C701" s="519"/>
      <c r="D701" s="519"/>
      <c r="E701" s="522"/>
      <c r="F701" s="522"/>
      <c r="G701" s="522"/>
      <c r="H701" s="522"/>
      <c r="I701" s="522"/>
      <c r="J701" s="522"/>
      <c r="K701" s="523"/>
      <c r="L701" s="524"/>
      <c r="M701" s="524"/>
      <c r="N701" s="524"/>
      <c r="O701" s="525"/>
      <c r="P701" s="525"/>
    </row>
    <row r="702" spans="1:16" ht="21.75" customHeight="1" x14ac:dyDescent="0.35">
      <c r="A702" s="519"/>
      <c r="B702" s="519"/>
      <c r="C702" s="519"/>
      <c r="D702" s="519"/>
      <c r="E702" s="522"/>
      <c r="F702" s="522"/>
      <c r="G702" s="522"/>
      <c r="H702" s="522"/>
      <c r="I702" s="522"/>
      <c r="J702" s="522"/>
      <c r="K702" s="523"/>
      <c r="L702" s="524"/>
      <c r="M702" s="524"/>
      <c r="N702" s="524"/>
      <c r="O702" s="525"/>
      <c r="P702" s="525"/>
    </row>
    <row r="703" spans="1:16" ht="21.75" customHeight="1" x14ac:dyDescent="0.35">
      <c r="A703" s="519"/>
      <c r="B703" s="519"/>
      <c r="C703" s="519"/>
      <c r="D703" s="519"/>
      <c r="E703" s="522"/>
      <c r="F703" s="522"/>
      <c r="G703" s="522"/>
      <c r="H703" s="522"/>
      <c r="I703" s="522"/>
      <c r="J703" s="522"/>
      <c r="K703" s="523"/>
      <c r="L703" s="524"/>
      <c r="M703" s="524"/>
      <c r="N703" s="524"/>
      <c r="O703" s="525"/>
      <c r="P703" s="525"/>
    </row>
    <row r="704" spans="1:16" ht="21.75" customHeight="1" x14ac:dyDescent="0.35">
      <c r="A704" s="519"/>
      <c r="B704" s="519"/>
      <c r="C704" s="519"/>
      <c r="D704" s="519"/>
      <c r="E704" s="522"/>
      <c r="F704" s="522"/>
      <c r="G704" s="522"/>
      <c r="H704" s="522"/>
      <c r="I704" s="522"/>
      <c r="J704" s="522"/>
      <c r="K704" s="523"/>
      <c r="L704" s="524"/>
      <c r="M704" s="524"/>
      <c r="N704" s="524"/>
      <c r="O704" s="525"/>
      <c r="P704" s="525"/>
    </row>
    <row r="705" spans="1:16" ht="21.75" customHeight="1" x14ac:dyDescent="0.35">
      <c r="A705" s="519"/>
      <c r="B705" s="519"/>
      <c r="C705" s="519"/>
      <c r="D705" s="519"/>
      <c r="E705" s="522"/>
      <c r="F705" s="522"/>
      <c r="G705" s="522"/>
      <c r="H705" s="522"/>
      <c r="I705" s="522"/>
      <c r="J705" s="522"/>
      <c r="K705" s="523"/>
      <c r="L705" s="524"/>
      <c r="M705" s="524"/>
      <c r="N705" s="524"/>
      <c r="O705" s="525"/>
      <c r="P705" s="525"/>
    </row>
    <row r="706" spans="1:16" ht="21.75" customHeight="1" x14ac:dyDescent="0.35">
      <c r="A706" s="519"/>
      <c r="B706" s="519"/>
      <c r="C706" s="519"/>
      <c r="D706" s="519"/>
      <c r="E706" s="522"/>
      <c r="F706" s="522"/>
      <c r="G706" s="522"/>
      <c r="H706" s="522"/>
      <c r="I706" s="522"/>
      <c r="J706" s="522"/>
      <c r="K706" s="523"/>
      <c r="L706" s="524"/>
      <c r="M706" s="524"/>
      <c r="N706" s="524"/>
      <c r="O706" s="525"/>
      <c r="P706" s="525"/>
    </row>
    <row r="707" spans="1:16" ht="21.75" customHeight="1" x14ac:dyDescent="0.35">
      <c r="A707" s="519"/>
      <c r="B707" s="519"/>
      <c r="C707" s="519"/>
      <c r="D707" s="519"/>
      <c r="E707" s="522"/>
      <c r="F707" s="522"/>
      <c r="G707" s="522"/>
      <c r="H707" s="522"/>
      <c r="I707" s="522"/>
      <c r="J707" s="522"/>
      <c r="K707" s="523"/>
      <c r="L707" s="524"/>
      <c r="M707" s="524"/>
      <c r="N707" s="524"/>
      <c r="O707" s="525"/>
      <c r="P707" s="525"/>
    </row>
    <row r="708" spans="1:16" ht="21.75" customHeight="1" x14ac:dyDescent="0.35">
      <c r="A708" s="519"/>
      <c r="B708" s="519"/>
      <c r="C708" s="519"/>
      <c r="D708" s="519"/>
      <c r="E708" s="522"/>
      <c r="F708" s="522"/>
      <c r="G708" s="522"/>
      <c r="H708" s="522"/>
      <c r="I708" s="522"/>
      <c r="J708" s="522"/>
      <c r="K708" s="523"/>
      <c r="L708" s="524"/>
      <c r="M708" s="524"/>
      <c r="N708" s="524"/>
      <c r="O708" s="525"/>
      <c r="P708" s="525"/>
    </row>
    <row r="709" spans="1:16" ht="21.75" customHeight="1" x14ac:dyDescent="0.35">
      <c r="A709" s="519"/>
      <c r="B709" s="519"/>
      <c r="C709" s="519"/>
      <c r="D709" s="519"/>
      <c r="E709" s="522"/>
      <c r="F709" s="522"/>
      <c r="G709" s="522"/>
      <c r="H709" s="522"/>
      <c r="I709" s="522"/>
      <c r="J709" s="522"/>
      <c r="K709" s="523"/>
      <c r="L709" s="524"/>
      <c r="M709" s="524"/>
      <c r="N709" s="524"/>
      <c r="O709" s="525"/>
      <c r="P709" s="525"/>
    </row>
    <row r="710" spans="1:16" ht="21.75" customHeight="1" x14ac:dyDescent="0.35">
      <c r="A710" s="519"/>
      <c r="B710" s="519"/>
      <c r="C710" s="519"/>
      <c r="D710" s="519"/>
      <c r="E710" s="522"/>
      <c r="F710" s="522"/>
      <c r="G710" s="522"/>
      <c r="H710" s="522"/>
      <c r="I710" s="522"/>
      <c r="J710" s="522"/>
      <c r="K710" s="523"/>
      <c r="L710" s="524"/>
      <c r="M710" s="524"/>
      <c r="N710" s="524"/>
      <c r="O710" s="525"/>
      <c r="P710" s="525"/>
    </row>
    <row r="711" spans="1:16" ht="21.75" customHeight="1" x14ac:dyDescent="0.35">
      <c r="A711" s="519"/>
      <c r="B711" s="519"/>
      <c r="C711" s="519"/>
      <c r="D711" s="519"/>
      <c r="E711" s="522"/>
      <c r="F711" s="522"/>
      <c r="G711" s="522"/>
      <c r="H711" s="522"/>
      <c r="I711" s="522"/>
      <c r="J711" s="522"/>
      <c r="K711" s="523"/>
      <c r="L711" s="524"/>
      <c r="M711" s="524"/>
      <c r="N711" s="524"/>
      <c r="O711" s="525"/>
      <c r="P711" s="525"/>
    </row>
    <row r="712" spans="1:16" ht="21.75" customHeight="1" x14ac:dyDescent="0.35">
      <c r="A712" s="519"/>
      <c r="B712" s="519"/>
      <c r="C712" s="519"/>
      <c r="D712" s="519"/>
      <c r="E712" s="522"/>
      <c r="F712" s="522"/>
      <c r="G712" s="522"/>
      <c r="H712" s="522"/>
      <c r="I712" s="522"/>
      <c r="J712" s="522"/>
      <c r="K712" s="523"/>
      <c r="L712" s="524"/>
      <c r="M712" s="524"/>
      <c r="N712" s="524"/>
      <c r="O712" s="525"/>
      <c r="P712" s="525"/>
    </row>
    <row r="713" spans="1:16" ht="21.75" customHeight="1" x14ac:dyDescent="0.35">
      <c r="A713" s="519"/>
      <c r="B713" s="519"/>
      <c r="C713" s="519"/>
      <c r="D713" s="519"/>
      <c r="E713" s="522"/>
      <c r="F713" s="522"/>
      <c r="G713" s="522"/>
      <c r="H713" s="522"/>
      <c r="I713" s="522"/>
      <c r="J713" s="522"/>
      <c r="K713" s="523"/>
      <c r="L713" s="524"/>
      <c r="M713" s="524"/>
      <c r="N713" s="524"/>
      <c r="O713" s="525"/>
      <c r="P713" s="525"/>
    </row>
    <row r="714" spans="1:16" ht="21.75" customHeight="1" x14ac:dyDescent="0.35">
      <c r="A714" s="519"/>
      <c r="B714" s="519"/>
      <c r="C714" s="519"/>
      <c r="D714" s="519"/>
      <c r="E714" s="522"/>
      <c r="F714" s="522"/>
      <c r="G714" s="522"/>
      <c r="H714" s="522"/>
      <c r="I714" s="522"/>
      <c r="J714" s="522"/>
      <c r="K714" s="523"/>
      <c r="L714" s="524"/>
      <c r="M714" s="524"/>
      <c r="N714" s="524"/>
      <c r="O714" s="525"/>
      <c r="P714" s="525"/>
    </row>
    <row r="715" spans="1:16" ht="21.75" customHeight="1" x14ac:dyDescent="0.35">
      <c r="A715" s="519"/>
      <c r="B715" s="519"/>
      <c r="C715" s="519"/>
      <c r="D715" s="519"/>
      <c r="E715" s="522"/>
      <c r="F715" s="522"/>
      <c r="G715" s="522"/>
      <c r="H715" s="522"/>
      <c r="I715" s="522"/>
      <c r="J715" s="522"/>
      <c r="K715" s="523"/>
      <c r="L715" s="524"/>
      <c r="M715" s="524"/>
      <c r="N715" s="524"/>
      <c r="O715" s="525"/>
      <c r="P715" s="525"/>
    </row>
    <row r="716" spans="1:16" ht="21.75" customHeight="1" x14ac:dyDescent="0.35">
      <c r="A716" s="519"/>
      <c r="B716" s="519"/>
      <c r="C716" s="519"/>
      <c r="D716" s="519"/>
      <c r="E716" s="522"/>
      <c r="F716" s="522"/>
      <c r="G716" s="522"/>
      <c r="H716" s="522"/>
      <c r="I716" s="522"/>
      <c r="J716" s="522"/>
      <c r="K716" s="523"/>
      <c r="L716" s="524"/>
      <c r="M716" s="524"/>
      <c r="N716" s="524"/>
      <c r="O716" s="525"/>
      <c r="P716" s="525"/>
    </row>
    <row r="717" spans="1:16" ht="21.75" customHeight="1" x14ac:dyDescent="0.35">
      <c r="A717" s="519"/>
      <c r="B717" s="519"/>
      <c r="C717" s="519"/>
      <c r="D717" s="519"/>
      <c r="E717" s="522"/>
      <c r="F717" s="522"/>
      <c r="G717" s="522"/>
      <c r="H717" s="522"/>
      <c r="I717" s="522"/>
      <c r="J717" s="522"/>
      <c r="K717" s="523"/>
      <c r="L717" s="524"/>
      <c r="M717" s="524"/>
      <c r="N717" s="524"/>
      <c r="O717" s="525"/>
      <c r="P717" s="525"/>
    </row>
    <row r="718" spans="1:16" ht="21.75" customHeight="1" x14ac:dyDescent="0.35">
      <c r="A718" s="519"/>
      <c r="B718" s="519"/>
      <c r="C718" s="519"/>
      <c r="D718" s="519"/>
      <c r="E718" s="522"/>
      <c r="F718" s="522"/>
      <c r="G718" s="522"/>
      <c r="H718" s="522"/>
      <c r="I718" s="522"/>
      <c r="J718" s="522"/>
      <c r="K718" s="523"/>
      <c r="L718" s="524"/>
      <c r="M718" s="524"/>
      <c r="N718" s="524"/>
      <c r="O718" s="525"/>
      <c r="P718" s="525"/>
    </row>
    <row r="719" spans="1:16" ht="21.75" customHeight="1" x14ac:dyDescent="0.35">
      <c r="A719" s="519"/>
      <c r="B719" s="519"/>
      <c r="C719" s="519"/>
      <c r="D719" s="519"/>
      <c r="E719" s="522"/>
      <c r="F719" s="522"/>
      <c r="G719" s="522"/>
      <c r="H719" s="522"/>
      <c r="I719" s="522"/>
      <c r="J719" s="522"/>
      <c r="K719" s="523"/>
      <c r="L719" s="524"/>
      <c r="M719" s="524"/>
      <c r="N719" s="524"/>
      <c r="O719" s="525"/>
      <c r="P719" s="525"/>
    </row>
    <row r="720" spans="1:16" ht="21.75" customHeight="1" x14ac:dyDescent="0.35">
      <c r="A720" s="519"/>
      <c r="B720" s="519"/>
      <c r="C720" s="519"/>
      <c r="D720" s="519"/>
      <c r="E720" s="522"/>
      <c r="F720" s="522"/>
      <c r="G720" s="522"/>
      <c r="H720" s="522"/>
      <c r="I720" s="522"/>
      <c r="J720" s="522"/>
      <c r="K720" s="523"/>
      <c r="L720" s="524"/>
      <c r="M720" s="524"/>
      <c r="N720" s="524"/>
      <c r="O720" s="525"/>
      <c r="P720" s="525"/>
    </row>
    <row r="721" spans="1:16" ht="21.75" customHeight="1" x14ac:dyDescent="0.35">
      <c r="A721" s="519"/>
      <c r="B721" s="519"/>
      <c r="C721" s="519"/>
      <c r="D721" s="519"/>
      <c r="E721" s="522"/>
      <c r="F721" s="522"/>
      <c r="G721" s="522"/>
      <c r="H721" s="522"/>
      <c r="I721" s="522"/>
      <c r="J721" s="522"/>
      <c r="K721" s="523"/>
      <c r="L721" s="524"/>
      <c r="M721" s="524"/>
      <c r="N721" s="524"/>
      <c r="O721" s="525"/>
      <c r="P721" s="525"/>
    </row>
    <row r="722" spans="1:16" ht="21.75" customHeight="1" x14ac:dyDescent="0.35">
      <c r="A722" s="519"/>
      <c r="B722" s="519"/>
      <c r="C722" s="519"/>
      <c r="D722" s="519"/>
      <c r="E722" s="522"/>
      <c r="F722" s="522"/>
      <c r="G722" s="522"/>
      <c r="H722" s="522"/>
      <c r="I722" s="522"/>
      <c r="J722" s="522"/>
      <c r="K722" s="523"/>
      <c r="L722" s="524"/>
      <c r="M722" s="524"/>
      <c r="N722" s="524"/>
      <c r="O722" s="525"/>
      <c r="P722" s="525"/>
    </row>
    <row r="723" spans="1:16" ht="21.75" customHeight="1" x14ac:dyDescent="0.35">
      <c r="A723" s="519"/>
      <c r="B723" s="519"/>
      <c r="C723" s="519"/>
      <c r="D723" s="519"/>
      <c r="E723" s="522"/>
      <c r="F723" s="522"/>
      <c r="G723" s="522"/>
      <c r="H723" s="522"/>
      <c r="I723" s="522"/>
      <c r="J723" s="522"/>
      <c r="K723" s="523"/>
      <c r="L723" s="524"/>
      <c r="M723" s="524"/>
      <c r="N723" s="524"/>
      <c r="O723" s="525"/>
      <c r="P723" s="525"/>
    </row>
    <row r="724" spans="1:16" ht="21.75" customHeight="1" x14ac:dyDescent="0.35">
      <c r="A724" s="519"/>
      <c r="B724" s="519"/>
      <c r="C724" s="519"/>
      <c r="D724" s="519"/>
      <c r="E724" s="522"/>
      <c r="F724" s="522"/>
      <c r="G724" s="522"/>
      <c r="H724" s="522"/>
      <c r="I724" s="522"/>
      <c r="J724" s="522"/>
      <c r="K724" s="523"/>
      <c r="L724" s="524"/>
      <c r="M724" s="524"/>
      <c r="N724" s="524"/>
      <c r="O724" s="525"/>
      <c r="P724" s="525"/>
    </row>
    <row r="725" spans="1:16" ht="21.75" customHeight="1" x14ac:dyDescent="0.35">
      <c r="A725" s="519"/>
      <c r="B725" s="519"/>
      <c r="C725" s="519"/>
      <c r="D725" s="519"/>
      <c r="E725" s="522"/>
      <c r="F725" s="522"/>
      <c r="G725" s="522"/>
      <c r="H725" s="522"/>
      <c r="I725" s="522"/>
      <c r="J725" s="522"/>
      <c r="K725" s="523"/>
      <c r="L725" s="524"/>
      <c r="M725" s="524"/>
      <c r="N725" s="524"/>
      <c r="O725" s="525"/>
      <c r="P725" s="525"/>
    </row>
    <row r="726" spans="1:16" ht="21.75" customHeight="1" x14ac:dyDescent="0.35">
      <c r="A726" s="519"/>
      <c r="B726" s="519"/>
      <c r="C726" s="519"/>
      <c r="D726" s="519"/>
      <c r="E726" s="522"/>
      <c r="F726" s="522"/>
      <c r="G726" s="522"/>
      <c r="H726" s="522"/>
      <c r="I726" s="522"/>
      <c r="J726" s="522"/>
      <c r="K726" s="523"/>
      <c r="L726" s="524"/>
      <c r="M726" s="524"/>
      <c r="N726" s="524"/>
      <c r="O726" s="525"/>
      <c r="P726" s="525"/>
    </row>
    <row r="727" spans="1:16" ht="21.75" customHeight="1" x14ac:dyDescent="0.35">
      <c r="A727" s="519"/>
      <c r="B727" s="519"/>
      <c r="C727" s="519"/>
      <c r="D727" s="519"/>
      <c r="E727" s="522"/>
      <c r="F727" s="522"/>
      <c r="G727" s="522"/>
      <c r="H727" s="522"/>
      <c r="I727" s="522"/>
      <c r="J727" s="522"/>
      <c r="K727" s="523"/>
      <c r="L727" s="524"/>
      <c r="M727" s="524"/>
      <c r="N727" s="524"/>
      <c r="O727" s="525"/>
      <c r="P727" s="525"/>
    </row>
    <row r="728" spans="1:16" ht="21.75" customHeight="1" x14ac:dyDescent="0.35">
      <c r="A728" s="519"/>
      <c r="B728" s="519"/>
      <c r="C728" s="519"/>
      <c r="D728" s="519"/>
      <c r="E728" s="522"/>
      <c r="F728" s="522"/>
      <c r="G728" s="522"/>
      <c r="H728" s="522"/>
      <c r="I728" s="522"/>
      <c r="J728" s="522"/>
      <c r="K728" s="523"/>
      <c r="L728" s="524"/>
      <c r="M728" s="524"/>
      <c r="N728" s="524"/>
      <c r="O728" s="525"/>
      <c r="P728" s="525"/>
    </row>
    <row r="729" spans="1:16" ht="21.75" customHeight="1" x14ac:dyDescent="0.35">
      <c r="A729" s="519"/>
      <c r="B729" s="519"/>
      <c r="C729" s="519"/>
      <c r="D729" s="519"/>
      <c r="E729" s="522"/>
      <c r="F729" s="522"/>
      <c r="G729" s="522"/>
      <c r="H729" s="522"/>
      <c r="I729" s="522"/>
      <c r="J729" s="522"/>
      <c r="K729" s="523"/>
      <c r="L729" s="524"/>
      <c r="M729" s="524"/>
      <c r="N729" s="524"/>
      <c r="O729" s="525"/>
      <c r="P729" s="525"/>
    </row>
    <row r="730" spans="1:16" ht="21.75" customHeight="1" x14ac:dyDescent="0.35">
      <c r="A730" s="519"/>
      <c r="B730" s="519"/>
      <c r="C730" s="519"/>
      <c r="D730" s="519"/>
      <c r="E730" s="522"/>
      <c r="F730" s="522"/>
      <c r="G730" s="522"/>
      <c r="H730" s="522"/>
      <c r="I730" s="522"/>
      <c r="J730" s="522"/>
      <c r="K730" s="523"/>
      <c r="L730" s="524"/>
      <c r="M730" s="524"/>
      <c r="N730" s="524"/>
      <c r="O730" s="525"/>
      <c r="P730" s="525"/>
    </row>
    <row r="731" spans="1:16" ht="21.75" customHeight="1" x14ac:dyDescent="0.35">
      <c r="A731" s="519"/>
      <c r="B731" s="519"/>
      <c r="C731" s="519"/>
      <c r="D731" s="519"/>
      <c r="E731" s="522"/>
      <c r="F731" s="522"/>
      <c r="G731" s="522"/>
      <c r="H731" s="522"/>
      <c r="I731" s="522"/>
      <c r="J731" s="522"/>
      <c r="K731" s="523"/>
      <c r="L731" s="524"/>
      <c r="M731" s="524"/>
      <c r="N731" s="524"/>
      <c r="O731" s="525"/>
      <c r="P731" s="525"/>
    </row>
    <row r="732" spans="1:16" ht="21.75" customHeight="1" x14ac:dyDescent="0.35">
      <c r="A732" s="519"/>
      <c r="B732" s="519"/>
      <c r="C732" s="519"/>
      <c r="D732" s="519"/>
      <c r="E732" s="522"/>
      <c r="F732" s="522"/>
      <c r="G732" s="522"/>
      <c r="H732" s="522"/>
      <c r="I732" s="522"/>
      <c r="J732" s="522"/>
      <c r="K732" s="523"/>
      <c r="L732" s="524"/>
      <c r="M732" s="524"/>
      <c r="N732" s="524"/>
      <c r="O732" s="525"/>
      <c r="P732" s="525"/>
    </row>
    <row r="733" spans="1:16" ht="21.75" customHeight="1" x14ac:dyDescent="0.35">
      <c r="A733" s="519"/>
      <c r="B733" s="519"/>
      <c r="C733" s="519"/>
      <c r="D733" s="519"/>
      <c r="E733" s="522"/>
      <c r="F733" s="522"/>
      <c r="G733" s="522"/>
      <c r="H733" s="522"/>
      <c r="I733" s="522"/>
      <c r="J733" s="522"/>
      <c r="K733" s="523"/>
      <c r="L733" s="524"/>
      <c r="M733" s="524"/>
      <c r="N733" s="524"/>
      <c r="O733" s="525"/>
      <c r="P733" s="525"/>
    </row>
    <row r="734" spans="1:16" ht="21.75" customHeight="1" x14ac:dyDescent="0.35">
      <c r="A734" s="519"/>
      <c r="B734" s="519"/>
      <c r="C734" s="519"/>
      <c r="D734" s="519"/>
      <c r="E734" s="522"/>
      <c r="F734" s="522"/>
      <c r="G734" s="522"/>
      <c r="H734" s="522"/>
      <c r="I734" s="522"/>
      <c r="J734" s="522"/>
      <c r="K734" s="523"/>
      <c r="L734" s="524"/>
      <c r="M734" s="524"/>
      <c r="N734" s="524"/>
      <c r="O734" s="525"/>
      <c r="P734" s="525"/>
    </row>
    <row r="735" spans="1:16" ht="21.75" customHeight="1" x14ac:dyDescent="0.35">
      <c r="A735" s="519"/>
      <c r="B735" s="519"/>
      <c r="C735" s="519"/>
      <c r="D735" s="519"/>
      <c r="E735" s="522"/>
      <c r="F735" s="522"/>
      <c r="G735" s="522"/>
      <c r="H735" s="522"/>
      <c r="I735" s="522"/>
      <c r="J735" s="522"/>
      <c r="K735" s="523"/>
      <c r="L735" s="524"/>
      <c r="M735" s="524"/>
      <c r="N735" s="524"/>
      <c r="O735" s="525"/>
      <c r="P735" s="525"/>
    </row>
    <row r="736" spans="1:16" ht="21.75" customHeight="1" x14ac:dyDescent="0.35">
      <c r="A736" s="519"/>
      <c r="B736" s="519"/>
      <c r="C736" s="519"/>
      <c r="D736" s="519"/>
      <c r="E736" s="522"/>
      <c r="F736" s="522"/>
      <c r="G736" s="522"/>
      <c r="H736" s="522"/>
      <c r="I736" s="522"/>
      <c r="J736" s="522"/>
      <c r="K736" s="523"/>
      <c r="L736" s="524"/>
      <c r="M736" s="524"/>
      <c r="N736" s="524"/>
      <c r="O736" s="525"/>
      <c r="P736" s="525"/>
    </row>
    <row r="737" spans="1:16" ht="21.75" customHeight="1" x14ac:dyDescent="0.35">
      <c r="A737" s="519"/>
      <c r="B737" s="519"/>
      <c r="C737" s="519"/>
      <c r="D737" s="519"/>
      <c r="E737" s="522"/>
      <c r="F737" s="522"/>
      <c r="G737" s="522"/>
      <c r="H737" s="522"/>
      <c r="I737" s="522"/>
      <c r="J737" s="522"/>
      <c r="K737" s="523"/>
      <c r="L737" s="524"/>
      <c r="M737" s="524"/>
      <c r="N737" s="524"/>
      <c r="O737" s="525"/>
      <c r="P737" s="525"/>
    </row>
    <row r="738" spans="1:16" ht="21.75" customHeight="1" x14ac:dyDescent="0.35">
      <c r="A738" s="519"/>
      <c r="B738" s="519"/>
      <c r="C738" s="519"/>
      <c r="D738" s="519"/>
      <c r="E738" s="522"/>
      <c r="F738" s="522"/>
      <c r="G738" s="522"/>
      <c r="H738" s="522"/>
      <c r="I738" s="522"/>
      <c r="J738" s="522"/>
      <c r="K738" s="523"/>
      <c r="L738" s="524"/>
      <c r="M738" s="524"/>
      <c r="N738" s="524"/>
      <c r="O738" s="525"/>
      <c r="P738" s="525"/>
    </row>
    <row r="739" spans="1:16" ht="21.75" customHeight="1" x14ac:dyDescent="0.35">
      <c r="A739" s="519"/>
      <c r="B739" s="519"/>
      <c r="C739" s="519"/>
      <c r="D739" s="519"/>
      <c r="E739" s="522"/>
      <c r="F739" s="522"/>
      <c r="G739" s="522"/>
      <c r="H739" s="522"/>
      <c r="I739" s="522"/>
      <c r="J739" s="522"/>
      <c r="K739" s="523"/>
      <c r="L739" s="524"/>
      <c r="M739" s="524"/>
      <c r="N739" s="524"/>
      <c r="O739" s="525"/>
      <c r="P739" s="525"/>
    </row>
    <row r="740" spans="1:16" ht="21.75" customHeight="1" x14ac:dyDescent="0.35">
      <c r="A740" s="519"/>
      <c r="B740" s="519"/>
      <c r="C740" s="519"/>
      <c r="D740" s="519"/>
      <c r="E740" s="522"/>
      <c r="F740" s="522"/>
      <c r="G740" s="522"/>
      <c r="H740" s="522"/>
      <c r="I740" s="522"/>
      <c r="J740" s="522"/>
      <c r="K740" s="523"/>
      <c r="L740" s="524"/>
      <c r="M740" s="524"/>
      <c r="N740" s="524"/>
      <c r="O740" s="525"/>
      <c r="P740" s="525"/>
    </row>
    <row r="741" spans="1:16" ht="21.75" customHeight="1" x14ac:dyDescent="0.35">
      <c r="A741" s="519"/>
      <c r="B741" s="519"/>
      <c r="C741" s="519"/>
      <c r="D741" s="519"/>
      <c r="E741" s="522"/>
      <c r="F741" s="522"/>
      <c r="G741" s="522"/>
      <c r="H741" s="522"/>
      <c r="I741" s="522"/>
      <c r="J741" s="522"/>
      <c r="K741" s="523"/>
      <c r="L741" s="524"/>
      <c r="M741" s="524"/>
      <c r="N741" s="524"/>
      <c r="O741" s="525"/>
      <c r="P741" s="525"/>
    </row>
    <row r="742" spans="1:16" ht="21.75" customHeight="1" x14ac:dyDescent="0.35">
      <c r="A742" s="519"/>
      <c r="B742" s="519"/>
      <c r="C742" s="519"/>
      <c r="D742" s="519"/>
      <c r="E742" s="522"/>
      <c r="F742" s="522"/>
      <c r="G742" s="522"/>
      <c r="H742" s="522"/>
      <c r="I742" s="522"/>
      <c r="J742" s="522"/>
      <c r="K742" s="523"/>
      <c r="L742" s="524"/>
      <c r="M742" s="524"/>
      <c r="N742" s="524"/>
      <c r="O742" s="525"/>
      <c r="P742" s="525"/>
    </row>
    <row r="743" spans="1:16" ht="21.75" customHeight="1" x14ac:dyDescent="0.35">
      <c r="A743" s="519"/>
      <c r="B743" s="519"/>
      <c r="C743" s="519"/>
      <c r="D743" s="519"/>
      <c r="E743" s="522"/>
      <c r="F743" s="522"/>
      <c r="G743" s="522"/>
      <c r="H743" s="522"/>
      <c r="I743" s="522"/>
      <c r="J743" s="522"/>
      <c r="K743" s="523"/>
      <c r="L743" s="524"/>
      <c r="M743" s="524"/>
      <c r="N743" s="524"/>
      <c r="O743" s="525"/>
      <c r="P743" s="525"/>
    </row>
    <row r="744" spans="1:16" ht="21.75" customHeight="1" x14ac:dyDescent="0.35">
      <c r="A744" s="519"/>
      <c r="B744" s="519"/>
      <c r="C744" s="519"/>
      <c r="D744" s="519"/>
      <c r="E744" s="522"/>
      <c r="F744" s="522"/>
      <c r="G744" s="522"/>
      <c r="H744" s="522"/>
      <c r="I744" s="522"/>
      <c r="J744" s="522"/>
      <c r="K744" s="523"/>
      <c r="L744" s="524"/>
      <c r="M744" s="524"/>
      <c r="N744" s="524"/>
      <c r="O744" s="525"/>
      <c r="P744" s="525"/>
    </row>
    <row r="745" spans="1:16" ht="21.75" customHeight="1" x14ac:dyDescent="0.35">
      <c r="A745" s="519"/>
      <c r="B745" s="519"/>
      <c r="C745" s="519"/>
      <c r="D745" s="519"/>
      <c r="E745" s="522"/>
      <c r="F745" s="522"/>
      <c r="G745" s="522"/>
      <c r="H745" s="522"/>
      <c r="I745" s="522"/>
      <c r="J745" s="522"/>
      <c r="K745" s="523"/>
      <c r="L745" s="524"/>
      <c r="M745" s="524"/>
      <c r="N745" s="524"/>
      <c r="O745" s="525"/>
      <c r="P745" s="525"/>
    </row>
    <row r="746" spans="1:16" ht="21.75" customHeight="1" x14ac:dyDescent="0.35">
      <c r="A746" s="519"/>
      <c r="B746" s="519"/>
      <c r="C746" s="519"/>
      <c r="D746" s="519"/>
      <c r="E746" s="522"/>
      <c r="F746" s="522"/>
      <c r="G746" s="522"/>
      <c r="H746" s="522"/>
      <c r="I746" s="522"/>
      <c r="J746" s="522"/>
      <c r="K746" s="523"/>
      <c r="L746" s="524"/>
      <c r="M746" s="524"/>
      <c r="N746" s="524"/>
      <c r="O746" s="525"/>
      <c r="P746" s="525"/>
    </row>
    <row r="747" spans="1:16" ht="21.75" customHeight="1" x14ac:dyDescent="0.35">
      <c r="A747" s="519"/>
      <c r="B747" s="519"/>
      <c r="C747" s="519"/>
      <c r="D747" s="519"/>
      <c r="E747" s="522"/>
      <c r="F747" s="522"/>
      <c r="G747" s="522"/>
      <c r="H747" s="522"/>
      <c r="I747" s="522"/>
      <c r="J747" s="522"/>
      <c r="K747" s="523"/>
      <c r="L747" s="524"/>
      <c r="M747" s="524"/>
      <c r="N747" s="524"/>
      <c r="O747" s="525"/>
      <c r="P747" s="525"/>
    </row>
    <row r="748" spans="1:16" ht="21.75" customHeight="1" x14ac:dyDescent="0.35">
      <c r="A748" s="519"/>
      <c r="B748" s="519"/>
      <c r="C748" s="519"/>
      <c r="D748" s="519"/>
      <c r="E748" s="522"/>
      <c r="F748" s="522"/>
      <c r="G748" s="522"/>
      <c r="H748" s="522"/>
      <c r="I748" s="522"/>
      <c r="J748" s="522"/>
      <c r="K748" s="523"/>
      <c r="L748" s="524"/>
      <c r="M748" s="524"/>
      <c r="N748" s="524"/>
      <c r="O748" s="525"/>
      <c r="P748" s="525"/>
    </row>
    <row r="749" spans="1:16" ht="21.75" customHeight="1" x14ac:dyDescent="0.35">
      <c r="A749" s="519"/>
      <c r="B749" s="519"/>
      <c r="C749" s="519"/>
      <c r="D749" s="519"/>
      <c r="E749" s="522"/>
      <c r="F749" s="522"/>
      <c r="G749" s="522"/>
      <c r="H749" s="522"/>
      <c r="I749" s="522"/>
      <c r="J749" s="522"/>
      <c r="K749" s="523"/>
      <c r="L749" s="524"/>
      <c r="M749" s="524"/>
      <c r="N749" s="524"/>
      <c r="O749" s="525"/>
      <c r="P749" s="525"/>
    </row>
    <row r="750" spans="1:16" ht="21.75" customHeight="1" x14ac:dyDescent="0.35">
      <c r="A750" s="519"/>
      <c r="B750" s="519"/>
      <c r="C750" s="519"/>
      <c r="D750" s="519"/>
      <c r="E750" s="522"/>
      <c r="F750" s="522"/>
      <c r="G750" s="522"/>
      <c r="H750" s="522"/>
      <c r="I750" s="522"/>
      <c r="J750" s="522"/>
      <c r="K750" s="523"/>
      <c r="L750" s="524"/>
      <c r="M750" s="524"/>
      <c r="N750" s="524"/>
      <c r="O750" s="525"/>
      <c r="P750" s="525"/>
    </row>
    <row r="751" spans="1:16" ht="21.75" customHeight="1" x14ac:dyDescent="0.35">
      <c r="A751" s="519"/>
      <c r="B751" s="519"/>
      <c r="C751" s="519"/>
      <c r="D751" s="519"/>
      <c r="E751" s="522"/>
      <c r="F751" s="522"/>
      <c r="G751" s="522"/>
      <c r="H751" s="522"/>
      <c r="I751" s="522"/>
      <c r="J751" s="522"/>
      <c r="K751" s="523"/>
      <c r="L751" s="524"/>
      <c r="M751" s="524"/>
      <c r="N751" s="524"/>
      <c r="O751" s="525"/>
      <c r="P751" s="525"/>
    </row>
    <row r="752" spans="1:16" ht="21.75" customHeight="1" x14ac:dyDescent="0.35">
      <c r="A752" s="519"/>
      <c r="B752" s="519"/>
      <c r="C752" s="519"/>
      <c r="D752" s="519"/>
      <c r="E752" s="522"/>
      <c r="F752" s="522"/>
      <c r="G752" s="522"/>
      <c r="H752" s="522"/>
      <c r="I752" s="522"/>
      <c r="J752" s="522"/>
      <c r="K752" s="523"/>
      <c r="L752" s="524"/>
      <c r="M752" s="524"/>
      <c r="N752" s="524"/>
      <c r="O752" s="525"/>
      <c r="P752" s="525"/>
    </row>
    <row r="753" spans="1:16" ht="21.75" customHeight="1" x14ac:dyDescent="0.35">
      <c r="A753" s="519"/>
      <c r="B753" s="519"/>
      <c r="C753" s="519"/>
      <c r="D753" s="519"/>
      <c r="E753" s="522"/>
      <c r="F753" s="522"/>
      <c r="G753" s="522"/>
      <c r="H753" s="522"/>
      <c r="I753" s="522"/>
      <c r="J753" s="522"/>
      <c r="K753" s="523"/>
      <c r="L753" s="524"/>
      <c r="M753" s="524"/>
      <c r="N753" s="524"/>
      <c r="O753" s="525"/>
      <c r="P753" s="525"/>
    </row>
    <row r="754" spans="1:16" ht="21.75" customHeight="1" x14ac:dyDescent="0.35">
      <c r="A754" s="519"/>
      <c r="B754" s="519"/>
      <c r="C754" s="519"/>
      <c r="D754" s="519"/>
      <c r="E754" s="522"/>
      <c r="F754" s="522"/>
      <c r="G754" s="522"/>
      <c r="H754" s="522"/>
      <c r="I754" s="522"/>
      <c r="J754" s="522"/>
      <c r="K754" s="523"/>
      <c r="L754" s="524"/>
      <c r="M754" s="524"/>
      <c r="N754" s="524"/>
      <c r="O754" s="525"/>
      <c r="P754" s="525"/>
    </row>
    <row r="755" spans="1:16" ht="21.75" customHeight="1" x14ac:dyDescent="0.35">
      <c r="A755" s="519"/>
      <c r="B755" s="519"/>
      <c r="C755" s="519"/>
      <c r="D755" s="519"/>
      <c r="E755" s="522"/>
      <c r="F755" s="522"/>
      <c r="G755" s="522"/>
      <c r="H755" s="522"/>
      <c r="I755" s="522"/>
      <c r="J755" s="522"/>
      <c r="K755" s="523"/>
      <c r="L755" s="524"/>
      <c r="M755" s="524"/>
      <c r="N755" s="524"/>
      <c r="O755" s="525"/>
      <c r="P755" s="525"/>
    </row>
    <row r="756" spans="1:16" ht="21.75" customHeight="1" x14ac:dyDescent="0.35">
      <c r="A756" s="519"/>
      <c r="B756" s="519"/>
      <c r="C756" s="519"/>
      <c r="D756" s="519"/>
      <c r="E756" s="522"/>
      <c r="F756" s="522"/>
      <c r="G756" s="522"/>
      <c r="H756" s="522"/>
      <c r="I756" s="522"/>
      <c r="J756" s="522"/>
      <c r="K756" s="523"/>
      <c r="L756" s="524"/>
      <c r="M756" s="524"/>
      <c r="N756" s="524"/>
      <c r="O756" s="525"/>
      <c r="P756" s="525"/>
    </row>
    <row r="757" spans="1:16" ht="21.75" customHeight="1" x14ac:dyDescent="0.35">
      <c r="A757" s="519"/>
      <c r="B757" s="519"/>
      <c r="C757" s="519"/>
      <c r="D757" s="519"/>
      <c r="E757" s="522"/>
      <c r="F757" s="522"/>
      <c r="G757" s="522"/>
      <c r="H757" s="522"/>
      <c r="I757" s="522"/>
      <c r="J757" s="522"/>
      <c r="K757" s="523"/>
      <c r="L757" s="524"/>
      <c r="M757" s="524"/>
      <c r="N757" s="524"/>
      <c r="O757" s="525"/>
      <c r="P757" s="525"/>
    </row>
    <row r="758" spans="1:16" ht="21.75" customHeight="1" x14ac:dyDescent="0.35">
      <c r="A758" s="519"/>
      <c r="B758" s="519"/>
      <c r="C758" s="519"/>
      <c r="D758" s="519"/>
      <c r="E758" s="522"/>
      <c r="F758" s="522"/>
      <c r="G758" s="522"/>
      <c r="H758" s="522"/>
      <c r="I758" s="522"/>
      <c r="J758" s="522"/>
      <c r="K758" s="523"/>
      <c r="L758" s="524"/>
      <c r="M758" s="524"/>
      <c r="N758" s="524"/>
      <c r="O758" s="525"/>
      <c r="P758" s="525"/>
    </row>
    <row r="759" spans="1:16" ht="21.75" customHeight="1" x14ac:dyDescent="0.35">
      <c r="A759" s="519"/>
      <c r="B759" s="519"/>
      <c r="C759" s="519"/>
      <c r="D759" s="519"/>
      <c r="E759" s="522"/>
      <c r="F759" s="522"/>
      <c r="G759" s="522"/>
      <c r="H759" s="522"/>
      <c r="I759" s="522"/>
      <c r="J759" s="522"/>
      <c r="K759" s="523"/>
      <c r="L759" s="524"/>
      <c r="M759" s="524"/>
      <c r="N759" s="524"/>
      <c r="O759" s="525"/>
      <c r="P759" s="525"/>
    </row>
    <row r="760" spans="1:16" ht="21.75" customHeight="1" x14ac:dyDescent="0.35">
      <c r="A760" s="519"/>
      <c r="B760" s="519"/>
      <c r="C760" s="519"/>
      <c r="D760" s="519"/>
      <c r="E760" s="522"/>
      <c r="F760" s="522"/>
      <c r="G760" s="522"/>
      <c r="H760" s="522"/>
      <c r="I760" s="522"/>
      <c r="J760" s="522"/>
      <c r="K760" s="523"/>
      <c r="L760" s="524"/>
      <c r="M760" s="524"/>
      <c r="N760" s="524"/>
      <c r="O760" s="525"/>
      <c r="P760" s="525"/>
    </row>
    <row r="761" spans="1:16" ht="21.75" customHeight="1" x14ac:dyDescent="0.35">
      <c r="A761" s="519"/>
      <c r="B761" s="519"/>
      <c r="C761" s="519"/>
      <c r="D761" s="519"/>
      <c r="E761" s="522"/>
      <c r="F761" s="522"/>
      <c r="G761" s="522"/>
      <c r="H761" s="522"/>
      <c r="I761" s="522"/>
      <c r="J761" s="522"/>
      <c r="K761" s="523"/>
      <c r="L761" s="524"/>
      <c r="M761" s="524"/>
      <c r="N761" s="524"/>
      <c r="O761" s="525"/>
      <c r="P761" s="525"/>
    </row>
    <row r="762" spans="1:16" ht="21.75" customHeight="1" x14ac:dyDescent="0.35">
      <c r="A762" s="519"/>
      <c r="B762" s="519"/>
      <c r="C762" s="519"/>
      <c r="D762" s="519"/>
      <c r="E762" s="522"/>
      <c r="F762" s="522"/>
      <c r="G762" s="522"/>
      <c r="H762" s="522"/>
      <c r="I762" s="522"/>
      <c r="J762" s="522"/>
      <c r="K762" s="523"/>
      <c r="L762" s="524"/>
      <c r="M762" s="524"/>
      <c r="N762" s="524"/>
      <c r="O762" s="525"/>
      <c r="P762" s="525"/>
    </row>
    <row r="763" spans="1:16" ht="21.75" customHeight="1" x14ac:dyDescent="0.35">
      <c r="A763" s="519"/>
      <c r="B763" s="519"/>
      <c r="C763" s="519"/>
      <c r="D763" s="519"/>
      <c r="E763" s="522"/>
      <c r="F763" s="522"/>
      <c r="G763" s="522"/>
      <c r="H763" s="522"/>
      <c r="I763" s="522"/>
      <c r="J763" s="522"/>
      <c r="K763" s="523"/>
      <c r="L763" s="524"/>
      <c r="M763" s="524"/>
      <c r="N763" s="524"/>
      <c r="O763" s="525"/>
      <c r="P763" s="525"/>
    </row>
    <row r="764" spans="1:16" ht="21.75" customHeight="1" x14ac:dyDescent="0.35">
      <c r="A764" s="519"/>
      <c r="B764" s="519"/>
      <c r="C764" s="519"/>
      <c r="D764" s="519"/>
      <c r="E764" s="522"/>
      <c r="F764" s="522"/>
      <c r="G764" s="522"/>
      <c r="H764" s="522"/>
      <c r="I764" s="522"/>
      <c r="J764" s="522"/>
      <c r="K764" s="523"/>
      <c r="L764" s="524"/>
      <c r="M764" s="524"/>
      <c r="N764" s="524"/>
      <c r="O764" s="525"/>
      <c r="P764" s="525"/>
    </row>
    <row r="765" spans="1:16" ht="21.75" customHeight="1" x14ac:dyDescent="0.35">
      <c r="A765" s="519"/>
      <c r="B765" s="519"/>
      <c r="C765" s="519"/>
      <c r="D765" s="519"/>
      <c r="E765" s="522"/>
      <c r="F765" s="522"/>
      <c r="G765" s="522"/>
      <c r="H765" s="522"/>
      <c r="I765" s="522"/>
      <c r="J765" s="522"/>
      <c r="K765" s="523"/>
      <c r="L765" s="524"/>
      <c r="M765" s="524"/>
      <c r="N765" s="524"/>
      <c r="O765" s="525"/>
      <c r="P765" s="525"/>
    </row>
    <row r="766" spans="1:16" ht="21.75" customHeight="1" x14ac:dyDescent="0.35">
      <c r="A766" s="519"/>
      <c r="B766" s="519"/>
      <c r="C766" s="519"/>
      <c r="D766" s="519"/>
      <c r="E766" s="522"/>
      <c r="F766" s="522"/>
      <c r="G766" s="522"/>
      <c r="H766" s="522"/>
      <c r="I766" s="522"/>
      <c r="J766" s="522"/>
      <c r="K766" s="523"/>
      <c r="L766" s="524"/>
      <c r="M766" s="524"/>
      <c r="N766" s="524"/>
      <c r="O766" s="525"/>
      <c r="P766" s="525"/>
    </row>
    <row r="767" spans="1:16" ht="21.75" customHeight="1" x14ac:dyDescent="0.35">
      <c r="A767" s="519"/>
      <c r="B767" s="519"/>
      <c r="C767" s="519"/>
      <c r="D767" s="519"/>
      <c r="E767" s="522"/>
      <c r="F767" s="522"/>
      <c r="G767" s="522"/>
      <c r="H767" s="522"/>
      <c r="I767" s="522"/>
      <c r="J767" s="522"/>
      <c r="K767" s="523"/>
      <c r="L767" s="524"/>
      <c r="M767" s="524"/>
      <c r="N767" s="524"/>
      <c r="O767" s="525"/>
      <c r="P767" s="525"/>
    </row>
    <row r="768" spans="1:16" ht="21.75" customHeight="1" x14ac:dyDescent="0.35">
      <c r="A768" s="519"/>
      <c r="B768" s="519"/>
      <c r="C768" s="519"/>
      <c r="D768" s="519"/>
      <c r="E768" s="522"/>
      <c r="F768" s="522"/>
      <c r="G768" s="522"/>
      <c r="H768" s="522"/>
      <c r="I768" s="522"/>
      <c r="J768" s="522"/>
      <c r="K768" s="523"/>
      <c r="L768" s="524"/>
      <c r="M768" s="524"/>
      <c r="N768" s="524"/>
      <c r="O768" s="525"/>
      <c r="P768" s="525"/>
    </row>
    <row r="769" spans="1:16" ht="21.75" customHeight="1" x14ac:dyDescent="0.35">
      <c r="A769" s="519"/>
      <c r="B769" s="519"/>
      <c r="C769" s="519"/>
      <c r="D769" s="519"/>
      <c r="E769" s="522"/>
      <c r="F769" s="522"/>
      <c r="G769" s="522"/>
      <c r="H769" s="522"/>
      <c r="I769" s="522"/>
      <c r="J769" s="522"/>
      <c r="K769" s="523"/>
      <c r="L769" s="524"/>
      <c r="M769" s="524"/>
      <c r="N769" s="524"/>
      <c r="O769" s="525"/>
      <c r="P769" s="525"/>
    </row>
    <row r="770" spans="1:16" ht="21.75" customHeight="1" x14ac:dyDescent="0.35">
      <c r="A770" s="519"/>
      <c r="B770" s="519"/>
      <c r="C770" s="519"/>
      <c r="D770" s="519"/>
      <c r="E770" s="522"/>
      <c r="F770" s="522"/>
      <c r="G770" s="522"/>
      <c r="H770" s="522"/>
      <c r="I770" s="522"/>
      <c r="J770" s="522"/>
      <c r="K770" s="523"/>
      <c r="L770" s="524"/>
      <c r="M770" s="524"/>
      <c r="N770" s="524"/>
      <c r="O770" s="525"/>
      <c r="P770" s="525"/>
    </row>
    <row r="771" spans="1:16" ht="21.75" customHeight="1" x14ac:dyDescent="0.35">
      <c r="A771" s="519"/>
      <c r="B771" s="519"/>
      <c r="C771" s="519"/>
      <c r="D771" s="519"/>
      <c r="E771" s="522"/>
      <c r="F771" s="522"/>
      <c r="G771" s="522"/>
      <c r="H771" s="522"/>
      <c r="I771" s="522"/>
      <c r="J771" s="522"/>
      <c r="K771" s="523"/>
      <c r="L771" s="524"/>
      <c r="M771" s="524"/>
      <c r="N771" s="524"/>
      <c r="O771" s="525"/>
      <c r="P771" s="525"/>
    </row>
    <row r="772" spans="1:16" ht="21.75" customHeight="1" x14ac:dyDescent="0.35">
      <c r="A772" s="519"/>
      <c r="B772" s="519"/>
      <c r="C772" s="519"/>
      <c r="D772" s="519"/>
      <c r="E772" s="522"/>
      <c r="F772" s="522"/>
      <c r="G772" s="522"/>
      <c r="H772" s="522"/>
      <c r="I772" s="522"/>
      <c r="J772" s="522"/>
      <c r="K772" s="523"/>
      <c r="L772" s="524"/>
      <c r="M772" s="524"/>
      <c r="N772" s="524"/>
      <c r="O772" s="525"/>
      <c r="P772" s="525"/>
    </row>
    <row r="773" spans="1:16" ht="21.75" customHeight="1" x14ac:dyDescent="0.35">
      <c r="A773" s="519"/>
      <c r="B773" s="519"/>
      <c r="C773" s="519"/>
      <c r="D773" s="519"/>
      <c r="E773" s="522"/>
      <c r="F773" s="522"/>
      <c r="G773" s="522"/>
      <c r="H773" s="522"/>
      <c r="I773" s="522"/>
      <c r="J773" s="522"/>
      <c r="K773" s="523"/>
      <c r="L773" s="524"/>
      <c r="M773" s="524"/>
      <c r="N773" s="524"/>
      <c r="O773" s="525"/>
      <c r="P773" s="525"/>
    </row>
    <row r="774" spans="1:16" ht="21.75" customHeight="1" x14ac:dyDescent="0.35">
      <c r="A774" s="519"/>
      <c r="B774" s="519"/>
      <c r="C774" s="519"/>
      <c r="D774" s="519"/>
      <c r="E774" s="522"/>
      <c r="F774" s="522"/>
      <c r="G774" s="522"/>
      <c r="H774" s="522"/>
      <c r="I774" s="522"/>
      <c r="J774" s="522"/>
      <c r="K774" s="523"/>
      <c r="L774" s="524"/>
      <c r="M774" s="524"/>
      <c r="N774" s="524"/>
      <c r="O774" s="525"/>
      <c r="P774" s="525"/>
    </row>
    <row r="775" spans="1:16" ht="21.75" customHeight="1" x14ac:dyDescent="0.35">
      <c r="A775" s="519"/>
      <c r="B775" s="519"/>
      <c r="C775" s="519"/>
      <c r="D775" s="519"/>
      <c r="E775" s="522"/>
      <c r="F775" s="522"/>
      <c r="G775" s="522"/>
      <c r="H775" s="522"/>
      <c r="I775" s="522"/>
      <c r="J775" s="522"/>
      <c r="K775" s="523"/>
      <c r="L775" s="524"/>
      <c r="M775" s="524"/>
      <c r="N775" s="524"/>
      <c r="O775" s="525"/>
      <c r="P775" s="525"/>
    </row>
    <row r="776" spans="1:16" ht="21.75" customHeight="1" x14ac:dyDescent="0.35">
      <c r="A776" s="519"/>
      <c r="B776" s="519"/>
      <c r="C776" s="519"/>
      <c r="D776" s="519"/>
      <c r="E776" s="522"/>
      <c r="F776" s="522"/>
      <c r="G776" s="522"/>
      <c r="H776" s="522"/>
      <c r="I776" s="522"/>
      <c r="J776" s="522"/>
      <c r="K776" s="523"/>
      <c r="L776" s="524"/>
      <c r="M776" s="524"/>
      <c r="N776" s="524"/>
      <c r="O776" s="525"/>
      <c r="P776" s="525"/>
    </row>
    <row r="777" spans="1:16" ht="21.75" customHeight="1" x14ac:dyDescent="0.35">
      <c r="A777" s="519"/>
      <c r="B777" s="519"/>
      <c r="C777" s="519"/>
      <c r="D777" s="519"/>
      <c r="E777" s="522"/>
      <c r="F777" s="522"/>
      <c r="G777" s="522"/>
      <c r="H777" s="522"/>
      <c r="I777" s="522"/>
      <c r="J777" s="522"/>
      <c r="K777" s="523"/>
      <c r="L777" s="524"/>
      <c r="M777" s="524"/>
      <c r="N777" s="524"/>
      <c r="O777" s="525"/>
      <c r="P777" s="525"/>
    </row>
    <row r="778" spans="1:16" ht="21.75" customHeight="1" x14ac:dyDescent="0.35">
      <c r="A778" s="519"/>
      <c r="B778" s="519"/>
      <c r="C778" s="519"/>
      <c r="D778" s="519"/>
      <c r="E778" s="522"/>
      <c r="F778" s="522"/>
      <c r="G778" s="522"/>
      <c r="H778" s="522"/>
      <c r="I778" s="522"/>
      <c r="J778" s="522"/>
      <c r="K778" s="523"/>
      <c r="L778" s="524"/>
      <c r="M778" s="524"/>
      <c r="N778" s="524"/>
      <c r="O778" s="525"/>
      <c r="P778" s="525"/>
    </row>
    <row r="779" spans="1:16" ht="21.75" customHeight="1" x14ac:dyDescent="0.35">
      <c r="A779" s="519"/>
      <c r="B779" s="519"/>
      <c r="C779" s="519"/>
      <c r="D779" s="519"/>
      <c r="E779" s="522"/>
      <c r="F779" s="522"/>
      <c r="G779" s="522"/>
      <c r="H779" s="522"/>
      <c r="I779" s="522"/>
      <c r="J779" s="522"/>
      <c r="K779" s="523"/>
      <c r="L779" s="524"/>
      <c r="M779" s="524"/>
      <c r="N779" s="524"/>
      <c r="O779" s="525"/>
      <c r="P779" s="525"/>
    </row>
    <row r="780" spans="1:16" ht="21.75" customHeight="1" x14ac:dyDescent="0.35">
      <c r="A780" s="519"/>
      <c r="B780" s="519"/>
      <c r="C780" s="519"/>
      <c r="D780" s="519"/>
      <c r="E780" s="522"/>
      <c r="F780" s="522"/>
      <c r="G780" s="522"/>
      <c r="H780" s="522"/>
      <c r="I780" s="522"/>
      <c r="J780" s="522"/>
      <c r="K780" s="523"/>
      <c r="L780" s="524"/>
      <c r="M780" s="524"/>
      <c r="N780" s="524"/>
      <c r="O780" s="525"/>
      <c r="P780" s="525"/>
    </row>
    <row r="781" spans="1:16" ht="21.75" customHeight="1" x14ac:dyDescent="0.35">
      <c r="A781" s="519"/>
      <c r="B781" s="519"/>
      <c r="C781" s="519"/>
      <c r="D781" s="519"/>
      <c r="E781" s="522"/>
      <c r="F781" s="522"/>
      <c r="G781" s="522"/>
      <c r="H781" s="522"/>
      <c r="I781" s="522"/>
      <c r="J781" s="522"/>
      <c r="K781" s="523"/>
      <c r="L781" s="524"/>
      <c r="M781" s="524"/>
      <c r="N781" s="524"/>
      <c r="O781" s="525"/>
      <c r="P781" s="525"/>
    </row>
    <row r="782" spans="1:16" ht="21.75" customHeight="1" x14ac:dyDescent="0.35">
      <c r="A782" s="519"/>
      <c r="B782" s="519"/>
      <c r="C782" s="519"/>
      <c r="D782" s="519"/>
      <c r="E782" s="522"/>
      <c r="F782" s="522"/>
      <c r="G782" s="522"/>
      <c r="H782" s="522"/>
      <c r="I782" s="522"/>
      <c r="J782" s="522"/>
      <c r="K782" s="523"/>
      <c r="L782" s="524"/>
      <c r="M782" s="524"/>
      <c r="N782" s="524"/>
      <c r="O782" s="525"/>
      <c r="P782" s="525"/>
    </row>
    <row r="783" spans="1:16" ht="21.75" customHeight="1" x14ac:dyDescent="0.35">
      <c r="A783" s="519"/>
      <c r="B783" s="519"/>
      <c r="C783" s="519"/>
      <c r="D783" s="519"/>
      <c r="E783" s="522"/>
      <c r="F783" s="522"/>
      <c r="G783" s="522"/>
      <c r="H783" s="522"/>
      <c r="I783" s="522"/>
      <c r="J783" s="522"/>
      <c r="K783" s="523"/>
      <c r="L783" s="524"/>
      <c r="M783" s="524"/>
      <c r="N783" s="524"/>
      <c r="O783" s="525"/>
      <c r="P783" s="525"/>
    </row>
    <row r="784" spans="1:16" ht="21.75" customHeight="1" x14ac:dyDescent="0.35">
      <c r="A784" s="519"/>
      <c r="B784" s="519"/>
      <c r="C784" s="519"/>
      <c r="D784" s="519"/>
      <c r="E784" s="522"/>
      <c r="F784" s="522"/>
      <c r="G784" s="522"/>
      <c r="H784" s="522"/>
      <c r="I784" s="522"/>
      <c r="J784" s="522"/>
      <c r="K784" s="523"/>
      <c r="L784" s="524"/>
      <c r="M784" s="524"/>
      <c r="N784" s="524"/>
      <c r="O784" s="525"/>
      <c r="P784" s="525"/>
    </row>
    <row r="785" spans="1:16" ht="21.75" customHeight="1" x14ac:dyDescent="0.35">
      <c r="A785" s="519"/>
      <c r="B785" s="519"/>
      <c r="C785" s="519"/>
      <c r="D785" s="519"/>
      <c r="E785" s="522"/>
      <c r="F785" s="522"/>
      <c r="G785" s="522"/>
      <c r="H785" s="522"/>
      <c r="I785" s="522"/>
      <c r="J785" s="522"/>
      <c r="K785" s="523"/>
      <c r="L785" s="524"/>
      <c r="M785" s="524"/>
      <c r="N785" s="524"/>
      <c r="O785" s="525"/>
      <c r="P785" s="525"/>
    </row>
    <row r="786" spans="1:16" ht="21.75" customHeight="1" x14ac:dyDescent="0.35">
      <c r="A786" s="519"/>
      <c r="B786" s="519"/>
      <c r="C786" s="519"/>
      <c r="D786" s="519"/>
      <c r="E786" s="522"/>
      <c r="F786" s="522"/>
      <c r="G786" s="522"/>
      <c r="H786" s="522"/>
      <c r="I786" s="522"/>
      <c r="J786" s="522"/>
      <c r="K786" s="523"/>
      <c r="L786" s="524"/>
      <c r="M786" s="524"/>
      <c r="N786" s="524"/>
      <c r="O786" s="525"/>
      <c r="P786" s="525"/>
    </row>
    <row r="787" spans="1:16" ht="21.75" customHeight="1" x14ac:dyDescent="0.35">
      <c r="A787" s="519"/>
      <c r="B787" s="519"/>
      <c r="C787" s="519"/>
      <c r="D787" s="519"/>
      <c r="E787" s="522"/>
      <c r="F787" s="522"/>
      <c r="G787" s="522"/>
      <c r="H787" s="522"/>
      <c r="I787" s="522"/>
      <c r="J787" s="522"/>
      <c r="K787" s="523"/>
      <c r="L787" s="524"/>
      <c r="M787" s="524"/>
      <c r="N787" s="524"/>
      <c r="O787" s="525"/>
      <c r="P787" s="525"/>
    </row>
    <row r="788" spans="1:16" ht="21.75" customHeight="1" x14ac:dyDescent="0.35">
      <c r="A788" s="519"/>
      <c r="B788" s="519"/>
      <c r="C788" s="519"/>
      <c r="D788" s="519"/>
      <c r="E788" s="522"/>
      <c r="F788" s="522"/>
      <c r="G788" s="522"/>
      <c r="H788" s="522"/>
      <c r="I788" s="522"/>
      <c r="J788" s="522"/>
      <c r="K788" s="523"/>
      <c r="L788" s="524"/>
      <c r="M788" s="524"/>
      <c r="N788" s="524"/>
      <c r="O788" s="525"/>
      <c r="P788" s="525"/>
    </row>
    <row r="789" spans="1:16" ht="21.75" customHeight="1" x14ac:dyDescent="0.35">
      <c r="A789" s="519"/>
      <c r="B789" s="519"/>
      <c r="C789" s="519"/>
      <c r="D789" s="519"/>
      <c r="E789" s="522"/>
      <c r="F789" s="522"/>
      <c r="G789" s="522"/>
      <c r="H789" s="522"/>
      <c r="I789" s="522"/>
      <c r="J789" s="522"/>
      <c r="K789" s="523"/>
      <c r="L789" s="524"/>
      <c r="M789" s="524"/>
      <c r="N789" s="524"/>
      <c r="O789" s="525"/>
      <c r="P789" s="525"/>
    </row>
    <row r="790" spans="1:16" ht="21.75" customHeight="1" x14ac:dyDescent="0.35">
      <c r="A790" s="519"/>
      <c r="B790" s="519"/>
      <c r="C790" s="519"/>
      <c r="D790" s="519"/>
      <c r="E790" s="522"/>
      <c r="F790" s="522"/>
      <c r="G790" s="522"/>
      <c r="H790" s="522"/>
      <c r="I790" s="522"/>
      <c r="J790" s="522"/>
      <c r="K790" s="523"/>
      <c r="L790" s="524"/>
      <c r="M790" s="524"/>
      <c r="N790" s="524"/>
      <c r="O790" s="525"/>
      <c r="P790" s="525"/>
    </row>
    <row r="791" spans="1:16" ht="21.75" customHeight="1" x14ac:dyDescent="0.35">
      <c r="A791" s="519"/>
      <c r="B791" s="519"/>
      <c r="C791" s="519"/>
      <c r="D791" s="519"/>
      <c r="E791" s="522"/>
      <c r="F791" s="522"/>
      <c r="G791" s="522"/>
      <c r="H791" s="522"/>
      <c r="I791" s="522"/>
      <c r="J791" s="522"/>
      <c r="K791" s="523"/>
      <c r="L791" s="524"/>
      <c r="M791" s="524"/>
      <c r="N791" s="524"/>
      <c r="O791" s="525"/>
      <c r="P791" s="525"/>
    </row>
    <row r="792" spans="1:16" ht="21.75" customHeight="1" x14ac:dyDescent="0.35">
      <c r="A792" s="519"/>
      <c r="B792" s="519"/>
      <c r="C792" s="519"/>
      <c r="D792" s="519"/>
      <c r="E792" s="522"/>
      <c r="F792" s="522"/>
      <c r="G792" s="522"/>
      <c r="H792" s="522"/>
      <c r="I792" s="522"/>
      <c r="J792" s="522"/>
      <c r="K792" s="523"/>
      <c r="L792" s="524"/>
      <c r="M792" s="524"/>
      <c r="N792" s="524"/>
      <c r="O792" s="525"/>
      <c r="P792" s="525"/>
    </row>
    <row r="793" spans="1:16" ht="21.75" customHeight="1" x14ac:dyDescent="0.35">
      <c r="A793" s="519"/>
      <c r="B793" s="519"/>
      <c r="C793" s="519"/>
      <c r="D793" s="519"/>
      <c r="E793" s="522"/>
      <c r="F793" s="522"/>
      <c r="G793" s="522"/>
      <c r="H793" s="522"/>
      <c r="I793" s="522"/>
      <c r="J793" s="522"/>
      <c r="K793" s="523"/>
      <c r="L793" s="524"/>
      <c r="M793" s="524"/>
      <c r="N793" s="524"/>
      <c r="O793" s="525"/>
      <c r="P793" s="525"/>
    </row>
    <row r="794" spans="1:16" ht="21.75" customHeight="1" x14ac:dyDescent="0.35">
      <c r="A794" s="519"/>
      <c r="B794" s="519"/>
      <c r="C794" s="519"/>
      <c r="D794" s="519"/>
      <c r="E794" s="522"/>
      <c r="F794" s="522"/>
      <c r="G794" s="522"/>
      <c r="H794" s="522"/>
      <c r="I794" s="522"/>
      <c r="J794" s="522"/>
      <c r="K794" s="523"/>
      <c r="L794" s="524"/>
      <c r="M794" s="524"/>
      <c r="N794" s="524"/>
      <c r="O794" s="525"/>
      <c r="P794" s="525"/>
    </row>
    <row r="795" spans="1:16" ht="21.75" customHeight="1" x14ac:dyDescent="0.35">
      <c r="A795" s="519"/>
      <c r="B795" s="519"/>
      <c r="C795" s="519"/>
      <c r="D795" s="519"/>
      <c r="E795" s="522"/>
      <c r="F795" s="522"/>
      <c r="G795" s="522"/>
      <c r="H795" s="522"/>
      <c r="I795" s="522"/>
      <c r="J795" s="522"/>
      <c r="K795" s="523"/>
      <c r="L795" s="524"/>
      <c r="M795" s="524"/>
      <c r="N795" s="524"/>
      <c r="O795" s="525"/>
      <c r="P795" s="525"/>
    </row>
    <row r="796" spans="1:16" ht="21.75" customHeight="1" x14ac:dyDescent="0.35">
      <c r="A796" s="519"/>
      <c r="B796" s="519"/>
      <c r="C796" s="519"/>
      <c r="D796" s="519"/>
      <c r="E796" s="522"/>
      <c r="F796" s="522"/>
      <c r="G796" s="522"/>
      <c r="H796" s="522"/>
      <c r="I796" s="522"/>
      <c r="J796" s="522"/>
      <c r="K796" s="523"/>
      <c r="L796" s="524"/>
      <c r="M796" s="524"/>
      <c r="N796" s="524"/>
      <c r="O796" s="525"/>
      <c r="P796" s="525"/>
    </row>
    <row r="797" spans="1:16" ht="21.75" customHeight="1" x14ac:dyDescent="0.35">
      <c r="A797" s="519"/>
      <c r="B797" s="519"/>
      <c r="C797" s="519"/>
      <c r="D797" s="519"/>
      <c r="E797" s="522"/>
      <c r="F797" s="522"/>
      <c r="G797" s="522"/>
      <c r="H797" s="522"/>
      <c r="I797" s="522"/>
      <c r="J797" s="522"/>
      <c r="K797" s="523"/>
      <c r="L797" s="524"/>
      <c r="M797" s="524"/>
      <c r="N797" s="524"/>
      <c r="O797" s="525"/>
      <c r="P797" s="525"/>
    </row>
    <row r="798" spans="1:16" ht="21.75" customHeight="1" x14ac:dyDescent="0.35">
      <c r="A798" s="519"/>
      <c r="B798" s="519"/>
      <c r="C798" s="519"/>
      <c r="D798" s="519"/>
      <c r="E798" s="522"/>
      <c r="F798" s="522"/>
      <c r="G798" s="522"/>
      <c r="H798" s="522"/>
      <c r="I798" s="522"/>
      <c r="J798" s="522"/>
      <c r="K798" s="523"/>
      <c r="L798" s="524"/>
      <c r="M798" s="524"/>
      <c r="N798" s="524"/>
      <c r="O798" s="525"/>
      <c r="P798" s="525"/>
    </row>
    <row r="799" spans="1:16" ht="21.75" customHeight="1" x14ac:dyDescent="0.35">
      <c r="A799" s="519"/>
      <c r="B799" s="519"/>
      <c r="C799" s="519"/>
      <c r="D799" s="519"/>
      <c r="E799" s="522"/>
      <c r="F799" s="522"/>
      <c r="G799" s="522"/>
      <c r="H799" s="522"/>
      <c r="I799" s="522"/>
      <c r="J799" s="522"/>
      <c r="K799" s="523"/>
      <c r="L799" s="524"/>
      <c r="M799" s="524"/>
      <c r="N799" s="524"/>
      <c r="O799" s="525"/>
      <c r="P799" s="525"/>
    </row>
    <row r="800" spans="1:16" ht="21.75" customHeight="1" x14ac:dyDescent="0.35">
      <c r="A800" s="519"/>
      <c r="B800" s="519"/>
      <c r="C800" s="519"/>
      <c r="D800" s="519"/>
      <c r="E800" s="522"/>
      <c r="F800" s="522"/>
      <c r="G800" s="522"/>
      <c r="H800" s="522"/>
      <c r="I800" s="522"/>
      <c r="J800" s="522"/>
      <c r="K800" s="523"/>
      <c r="L800" s="524"/>
      <c r="M800" s="524"/>
      <c r="N800" s="524"/>
      <c r="O800" s="525"/>
      <c r="P800" s="525"/>
    </row>
    <row r="801" spans="1:16" ht="21.75" customHeight="1" x14ac:dyDescent="0.35">
      <c r="A801" s="519"/>
      <c r="B801" s="519"/>
      <c r="C801" s="519"/>
      <c r="D801" s="519"/>
      <c r="E801" s="522"/>
      <c r="F801" s="522"/>
      <c r="G801" s="522"/>
      <c r="H801" s="522"/>
      <c r="I801" s="522"/>
      <c r="J801" s="522"/>
      <c r="K801" s="523"/>
      <c r="L801" s="524"/>
      <c r="M801" s="524"/>
      <c r="N801" s="524"/>
      <c r="O801" s="525"/>
      <c r="P801" s="525"/>
    </row>
    <row r="802" spans="1:16" ht="21.75" customHeight="1" x14ac:dyDescent="0.35">
      <c r="A802" s="519"/>
      <c r="B802" s="519"/>
      <c r="C802" s="519"/>
      <c r="D802" s="519"/>
      <c r="E802" s="522"/>
      <c r="F802" s="522"/>
      <c r="G802" s="522"/>
      <c r="H802" s="522"/>
      <c r="I802" s="522"/>
      <c r="J802" s="522"/>
      <c r="K802" s="523"/>
      <c r="L802" s="524"/>
      <c r="M802" s="524"/>
      <c r="N802" s="524"/>
      <c r="O802" s="525"/>
      <c r="P802" s="525"/>
    </row>
    <row r="803" spans="1:16" ht="21.75" customHeight="1" x14ac:dyDescent="0.35">
      <c r="A803" s="519"/>
      <c r="B803" s="519"/>
      <c r="C803" s="519"/>
      <c r="D803" s="519"/>
      <c r="E803" s="522"/>
      <c r="F803" s="522"/>
      <c r="G803" s="522"/>
      <c r="H803" s="522"/>
      <c r="I803" s="522"/>
      <c r="J803" s="522"/>
      <c r="K803" s="523"/>
      <c r="L803" s="524"/>
      <c r="M803" s="524"/>
      <c r="N803" s="524"/>
      <c r="O803" s="525"/>
      <c r="P803" s="525"/>
    </row>
    <row r="804" spans="1:16" ht="21.75" customHeight="1" x14ac:dyDescent="0.35">
      <c r="A804" s="519"/>
      <c r="B804" s="519"/>
      <c r="C804" s="519"/>
      <c r="D804" s="519"/>
      <c r="E804" s="522"/>
      <c r="F804" s="522"/>
      <c r="G804" s="522"/>
      <c r="H804" s="522"/>
      <c r="I804" s="522"/>
      <c r="J804" s="522"/>
      <c r="K804" s="523"/>
      <c r="L804" s="524"/>
      <c r="M804" s="524"/>
      <c r="N804" s="524"/>
      <c r="O804" s="525"/>
      <c r="P804" s="525"/>
    </row>
    <row r="805" spans="1:16" ht="21.75" customHeight="1" x14ac:dyDescent="0.35">
      <c r="A805" s="519"/>
      <c r="B805" s="519"/>
      <c r="C805" s="519"/>
      <c r="D805" s="519"/>
      <c r="E805" s="522"/>
      <c r="F805" s="522"/>
      <c r="G805" s="522"/>
      <c r="H805" s="522"/>
      <c r="I805" s="522"/>
      <c r="J805" s="522"/>
      <c r="K805" s="523"/>
      <c r="L805" s="524"/>
      <c r="M805" s="524"/>
      <c r="N805" s="524"/>
      <c r="O805" s="525"/>
      <c r="P805" s="525"/>
    </row>
    <row r="806" spans="1:16" ht="21.75" customHeight="1" x14ac:dyDescent="0.35">
      <c r="A806" s="519"/>
      <c r="B806" s="519"/>
      <c r="C806" s="519"/>
      <c r="D806" s="519"/>
      <c r="E806" s="522"/>
      <c r="F806" s="522"/>
      <c r="G806" s="522"/>
      <c r="H806" s="522"/>
      <c r="I806" s="522"/>
      <c r="J806" s="522"/>
      <c r="K806" s="523"/>
      <c r="L806" s="524"/>
      <c r="M806" s="524"/>
      <c r="N806" s="524"/>
      <c r="O806" s="525"/>
      <c r="P806" s="525"/>
    </row>
    <row r="807" spans="1:16" ht="21.75" customHeight="1" x14ac:dyDescent="0.35">
      <c r="A807" s="519"/>
      <c r="B807" s="519"/>
      <c r="C807" s="519"/>
      <c r="D807" s="519"/>
      <c r="E807" s="522"/>
      <c r="F807" s="522"/>
      <c r="G807" s="522"/>
      <c r="H807" s="522"/>
      <c r="I807" s="522"/>
      <c r="J807" s="522"/>
      <c r="K807" s="523"/>
      <c r="L807" s="524"/>
      <c r="M807" s="524"/>
      <c r="N807" s="524"/>
      <c r="O807" s="525"/>
      <c r="P807" s="525"/>
    </row>
    <row r="808" spans="1:16" ht="21.75" customHeight="1" x14ac:dyDescent="0.35">
      <c r="A808" s="519"/>
      <c r="B808" s="519"/>
      <c r="C808" s="519"/>
      <c r="D808" s="519"/>
      <c r="E808" s="522"/>
      <c r="F808" s="522"/>
      <c r="G808" s="522"/>
      <c r="H808" s="522"/>
      <c r="I808" s="522"/>
      <c r="J808" s="522"/>
      <c r="K808" s="523"/>
      <c r="L808" s="524"/>
      <c r="M808" s="524"/>
      <c r="N808" s="524"/>
      <c r="O808" s="525"/>
      <c r="P808" s="525"/>
    </row>
    <row r="809" spans="1:16" ht="21.75" customHeight="1" x14ac:dyDescent="0.35">
      <c r="A809" s="519"/>
      <c r="B809" s="519"/>
      <c r="C809" s="519"/>
      <c r="D809" s="519"/>
      <c r="E809" s="522"/>
      <c r="F809" s="522"/>
      <c r="G809" s="522"/>
      <c r="H809" s="522"/>
      <c r="I809" s="522"/>
      <c r="J809" s="522"/>
      <c r="K809" s="523"/>
      <c r="L809" s="524"/>
      <c r="M809" s="524"/>
      <c r="N809" s="524"/>
      <c r="O809" s="525"/>
      <c r="P809" s="525"/>
    </row>
    <row r="810" spans="1:16" ht="21.75" customHeight="1" x14ac:dyDescent="0.35">
      <c r="A810" s="519"/>
      <c r="B810" s="519"/>
      <c r="C810" s="519"/>
      <c r="D810" s="519"/>
      <c r="E810" s="522"/>
      <c r="F810" s="522"/>
      <c r="G810" s="522"/>
      <c r="H810" s="522"/>
      <c r="I810" s="522"/>
      <c r="J810" s="522"/>
      <c r="K810" s="523"/>
      <c r="L810" s="524"/>
      <c r="M810" s="524"/>
      <c r="N810" s="524"/>
      <c r="O810" s="525"/>
      <c r="P810" s="525"/>
    </row>
    <row r="811" spans="1:16" ht="21.75" customHeight="1" x14ac:dyDescent="0.35">
      <c r="A811" s="519"/>
      <c r="B811" s="519"/>
      <c r="C811" s="519"/>
      <c r="D811" s="519"/>
      <c r="E811" s="522"/>
      <c r="F811" s="522"/>
      <c r="G811" s="522"/>
      <c r="H811" s="522"/>
      <c r="I811" s="522"/>
      <c r="J811" s="522"/>
      <c r="K811" s="523"/>
      <c r="L811" s="524"/>
      <c r="M811" s="524"/>
      <c r="N811" s="524"/>
      <c r="O811" s="525"/>
      <c r="P811" s="525"/>
    </row>
    <row r="812" spans="1:16" ht="21.75" customHeight="1" x14ac:dyDescent="0.35">
      <c r="A812" s="519"/>
      <c r="B812" s="519"/>
      <c r="C812" s="519"/>
      <c r="D812" s="519"/>
      <c r="E812" s="522"/>
      <c r="F812" s="522"/>
      <c r="G812" s="522"/>
      <c r="H812" s="522"/>
      <c r="I812" s="522"/>
      <c r="J812" s="522"/>
      <c r="K812" s="523"/>
      <c r="L812" s="524"/>
      <c r="M812" s="524"/>
      <c r="N812" s="524"/>
      <c r="O812" s="525"/>
      <c r="P812" s="525"/>
    </row>
    <row r="813" spans="1:16" ht="21.75" customHeight="1" x14ac:dyDescent="0.35">
      <c r="A813" s="519"/>
      <c r="B813" s="519"/>
      <c r="C813" s="519"/>
      <c r="D813" s="519"/>
      <c r="E813" s="522"/>
      <c r="F813" s="522"/>
      <c r="G813" s="522"/>
      <c r="H813" s="522"/>
      <c r="I813" s="522"/>
      <c r="J813" s="522"/>
      <c r="K813" s="523"/>
      <c r="L813" s="524"/>
      <c r="M813" s="524"/>
      <c r="N813" s="524"/>
      <c r="O813" s="525"/>
      <c r="P813" s="525"/>
    </row>
    <row r="814" spans="1:16" ht="21.75" customHeight="1" x14ac:dyDescent="0.35">
      <c r="A814" s="519"/>
      <c r="B814" s="519"/>
      <c r="C814" s="519"/>
      <c r="D814" s="519"/>
      <c r="E814" s="522"/>
      <c r="F814" s="522"/>
      <c r="G814" s="522"/>
      <c r="H814" s="522"/>
      <c r="I814" s="522"/>
      <c r="J814" s="522"/>
      <c r="K814" s="523"/>
      <c r="L814" s="524"/>
      <c r="M814" s="524"/>
      <c r="N814" s="524"/>
      <c r="O814" s="525"/>
      <c r="P814" s="525"/>
    </row>
    <row r="815" spans="1:16" ht="21.75" customHeight="1" x14ac:dyDescent="0.35">
      <c r="A815" s="519"/>
      <c r="B815" s="519"/>
      <c r="C815" s="519"/>
      <c r="D815" s="519"/>
      <c r="E815" s="522"/>
      <c r="F815" s="522"/>
      <c r="G815" s="522"/>
      <c r="H815" s="522"/>
      <c r="I815" s="522"/>
      <c r="J815" s="522"/>
      <c r="K815" s="523"/>
      <c r="L815" s="524"/>
      <c r="M815" s="524"/>
      <c r="N815" s="524"/>
      <c r="O815" s="525"/>
      <c r="P815" s="525"/>
    </row>
    <row r="816" spans="1:16" ht="21.75" customHeight="1" x14ac:dyDescent="0.35">
      <c r="A816" s="519"/>
      <c r="B816" s="519"/>
      <c r="C816" s="519"/>
      <c r="D816" s="519"/>
      <c r="E816" s="522"/>
      <c r="F816" s="522"/>
      <c r="G816" s="522"/>
      <c r="H816" s="522"/>
      <c r="I816" s="522"/>
      <c r="J816" s="522"/>
      <c r="K816" s="523"/>
      <c r="L816" s="524"/>
      <c r="M816" s="524"/>
      <c r="N816" s="524"/>
      <c r="O816" s="525"/>
      <c r="P816" s="525"/>
    </row>
    <row r="817" spans="1:16" ht="21.75" customHeight="1" x14ac:dyDescent="0.35">
      <c r="A817" s="519"/>
      <c r="B817" s="519"/>
      <c r="C817" s="519"/>
      <c r="D817" s="519"/>
      <c r="E817" s="522"/>
      <c r="F817" s="522"/>
      <c r="G817" s="522"/>
      <c r="H817" s="522"/>
      <c r="I817" s="522"/>
      <c r="J817" s="522"/>
      <c r="K817" s="523"/>
      <c r="L817" s="524"/>
      <c r="M817" s="524"/>
      <c r="N817" s="524"/>
      <c r="O817" s="525"/>
      <c r="P817" s="525"/>
    </row>
    <row r="818" spans="1:16" ht="21.75" customHeight="1" x14ac:dyDescent="0.35">
      <c r="A818" s="519"/>
      <c r="B818" s="519"/>
      <c r="C818" s="519"/>
      <c r="D818" s="519"/>
      <c r="E818" s="522"/>
      <c r="F818" s="522"/>
      <c r="G818" s="522"/>
      <c r="H818" s="522"/>
      <c r="I818" s="522"/>
      <c r="J818" s="522"/>
      <c r="K818" s="523"/>
      <c r="L818" s="524"/>
      <c r="M818" s="524"/>
      <c r="N818" s="524"/>
      <c r="O818" s="525"/>
      <c r="P818" s="525"/>
    </row>
    <row r="819" spans="1:16" ht="21.75" customHeight="1" x14ac:dyDescent="0.35">
      <c r="A819" s="519"/>
      <c r="B819" s="519"/>
      <c r="C819" s="519"/>
      <c r="D819" s="519"/>
      <c r="E819" s="522"/>
      <c r="F819" s="522"/>
      <c r="G819" s="522"/>
      <c r="H819" s="522"/>
      <c r="I819" s="522"/>
      <c r="J819" s="522"/>
      <c r="K819" s="523"/>
      <c r="L819" s="524"/>
      <c r="M819" s="524"/>
      <c r="N819" s="524"/>
      <c r="O819" s="525"/>
      <c r="P819" s="525"/>
    </row>
    <row r="820" spans="1:16" ht="21.75" customHeight="1" x14ac:dyDescent="0.35">
      <c r="A820" s="519"/>
      <c r="B820" s="519"/>
      <c r="C820" s="519"/>
      <c r="D820" s="519"/>
      <c r="E820" s="522"/>
      <c r="F820" s="522"/>
      <c r="G820" s="522"/>
      <c r="H820" s="522"/>
      <c r="I820" s="522"/>
      <c r="J820" s="522"/>
      <c r="K820" s="523"/>
      <c r="L820" s="524"/>
      <c r="M820" s="524"/>
      <c r="N820" s="524"/>
      <c r="O820" s="525"/>
      <c r="P820" s="525"/>
    </row>
    <row r="821" spans="1:16" ht="21.75" customHeight="1" x14ac:dyDescent="0.35">
      <c r="A821" s="519"/>
      <c r="B821" s="519"/>
      <c r="C821" s="519"/>
      <c r="D821" s="519"/>
      <c r="E821" s="522"/>
      <c r="F821" s="522"/>
      <c r="G821" s="522"/>
      <c r="H821" s="522"/>
      <c r="I821" s="522"/>
      <c r="J821" s="522"/>
      <c r="K821" s="523"/>
      <c r="L821" s="524"/>
      <c r="M821" s="524"/>
      <c r="N821" s="524"/>
      <c r="O821" s="525"/>
      <c r="P821" s="525"/>
    </row>
    <row r="822" spans="1:16" ht="21.75" customHeight="1" x14ac:dyDescent="0.35">
      <c r="A822" s="519"/>
      <c r="B822" s="519"/>
      <c r="C822" s="519"/>
      <c r="D822" s="519"/>
      <c r="E822" s="522"/>
      <c r="F822" s="522"/>
      <c r="G822" s="522"/>
      <c r="H822" s="522"/>
      <c r="I822" s="522"/>
      <c r="J822" s="522"/>
      <c r="K822" s="523"/>
      <c r="L822" s="524"/>
      <c r="M822" s="524"/>
      <c r="N822" s="524"/>
      <c r="O822" s="525"/>
      <c r="P822" s="525"/>
    </row>
    <row r="823" spans="1:16" ht="21.75" customHeight="1" x14ac:dyDescent="0.35">
      <c r="A823" s="519"/>
      <c r="B823" s="519"/>
      <c r="C823" s="519"/>
      <c r="D823" s="519"/>
      <c r="E823" s="522"/>
      <c r="F823" s="522"/>
      <c r="G823" s="522"/>
      <c r="H823" s="522"/>
      <c r="I823" s="522"/>
      <c r="J823" s="522"/>
      <c r="K823" s="523"/>
      <c r="L823" s="524"/>
      <c r="M823" s="524"/>
      <c r="N823" s="524"/>
      <c r="O823" s="525"/>
      <c r="P823" s="525"/>
    </row>
    <row r="824" spans="1:16" ht="21.75" customHeight="1" x14ac:dyDescent="0.35">
      <c r="A824" s="519"/>
      <c r="B824" s="519"/>
      <c r="C824" s="519"/>
      <c r="D824" s="519"/>
      <c r="E824" s="522"/>
      <c r="F824" s="522"/>
      <c r="G824" s="522"/>
      <c r="H824" s="522"/>
      <c r="I824" s="522"/>
      <c r="J824" s="522"/>
      <c r="K824" s="523"/>
      <c r="L824" s="524"/>
      <c r="M824" s="524"/>
      <c r="N824" s="524"/>
      <c r="O824" s="525"/>
      <c r="P824" s="525"/>
    </row>
    <row r="825" spans="1:16" ht="21.75" customHeight="1" x14ac:dyDescent="0.35">
      <c r="A825" s="519"/>
      <c r="B825" s="519"/>
      <c r="C825" s="519"/>
      <c r="D825" s="519"/>
      <c r="E825" s="522"/>
      <c r="F825" s="522"/>
      <c r="G825" s="522"/>
      <c r="H825" s="522"/>
      <c r="I825" s="522"/>
      <c r="J825" s="522"/>
      <c r="K825" s="523"/>
      <c r="L825" s="524"/>
      <c r="M825" s="524"/>
      <c r="N825" s="524"/>
      <c r="O825" s="525"/>
      <c r="P825" s="525"/>
    </row>
    <row r="826" spans="1:16" ht="21.75" customHeight="1" x14ac:dyDescent="0.35">
      <c r="A826" s="519"/>
      <c r="B826" s="519"/>
      <c r="C826" s="519"/>
      <c r="D826" s="519"/>
      <c r="E826" s="522"/>
      <c r="F826" s="522"/>
      <c r="G826" s="522"/>
      <c r="H826" s="522"/>
      <c r="I826" s="522"/>
      <c r="J826" s="522"/>
      <c r="K826" s="523"/>
      <c r="L826" s="524"/>
      <c r="M826" s="524"/>
      <c r="N826" s="524"/>
      <c r="O826" s="525"/>
      <c r="P826" s="525"/>
    </row>
    <row r="827" spans="1:16" ht="21.75" customHeight="1" x14ac:dyDescent="0.35">
      <c r="A827" s="519"/>
      <c r="B827" s="519"/>
      <c r="C827" s="519"/>
      <c r="D827" s="519"/>
      <c r="E827" s="522"/>
      <c r="F827" s="522"/>
      <c r="G827" s="522"/>
      <c r="H827" s="522"/>
      <c r="I827" s="522"/>
      <c r="J827" s="522"/>
      <c r="K827" s="523"/>
      <c r="L827" s="524"/>
      <c r="M827" s="524"/>
      <c r="N827" s="524"/>
      <c r="O827" s="525"/>
      <c r="P827" s="525"/>
    </row>
    <row r="828" spans="1:16" ht="21.75" customHeight="1" x14ac:dyDescent="0.35">
      <c r="A828" s="519"/>
      <c r="B828" s="519"/>
      <c r="C828" s="519"/>
      <c r="D828" s="519"/>
      <c r="E828" s="522"/>
      <c r="F828" s="522"/>
      <c r="G828" s="522"/>
      <c r="H828" s="522"/>
      <c r="I828" s="522"/>
      <c r="J828" s="522"/>
      <c r="K828" s="523"/>
      <c r="L828" s="524"/>
      <c r="M828" s="524"/>
      <c r="N828" s="524"/>
      <c r="O828" s="525"/>
      <c r="P828" s="525"/>
    </row>
    <row r="829" spans="1:16" ht="21.75" customHeight="1" x14ac:dyDescent="0.35">
      <c r="A829" s="519"/>
      <c r="B829" s="519"/>
      <c r="C829" s="519"/>
      <c r="D829" s="519"/>
      <c r="E829" s="522"/>
      <c r="F829" s="522"/>
      <c r="G829" s="522"/>
      <c r="H829" s="522"/>
      <c r="I829" s="522"/>
      <c r="J829" s="522"/>
      <c r="K829" s="523"/>
      <c r="L829" s="524"/>
      <c r="M829" s="524"/>
      <c r="N829" s="524"/>
      <c r="O829" s="525"/>
      <c r="P829" s="525"/>
    </row>
    <row r="830" spans="1:16" ht="21.75" customHeight="1" x14ac:dyDescent="0.35">
      <c r="A830" s="519"/>
      <c r="B830" s="519"/>
      <c r="C830" s="519"/>
      <c r="D830" s="519"/>
      <c r="E830" s="522"/>
      <c r="F830" s="522"/>
      <c r="G830" s="522"/>
      <c r="H830" s="522"/>
      <c r="I830" s="522"/>
      <c r="J830" s="522"/>
      <c r="K830" s="523"/>
      <c r="L830" s="524"/>
      <c r="M830" s="524"/>
      <c r="N830" s="524"/>
      <c r="O830" s="525"/>
      <c r="P830" s="525"/>
    </row>
    <row r="831" spans="1:16" ht="21.75" customHeight="1" x14ac:dyDescent="0.35">
      <c r="A831" s="519"/>
      <c r="B831" s="519"/>
      <c r="C831" s="519"/>
      <c r="D831" s="519"/>
      <c r="E831" s="522"/>
      <c r="F831" s="522"/>
      <c r="G831" s="522"/>
      <c r="H831" s="522"/>
      <c r="I831" s="522"/>
      <c r="J831" s="522"/>
      <c r="K831" s="523"/>
      <c r="L831" s="524"/>
      <c r="M831" s="524"/>
      <c r="N831" s="524"/>
      <c r="O831" s="525"/>
      <c r="P831" s="525"/>
    </row>
    <row r="832" spans="1:16" ht="21.75" customHeight="1" x14ac:dyDescent="0.35">
      <c r="A832" s="519"/>
      <c r="B832" s="519"/>
      <c r="C832" s="519"/>
      <c r="D832" s="519"/>
      <c r="E832" s="522"/>
      <c r="F832" s="522"/>
      <c r="G832" s="522"/>
      <c r="H832" s="522"/>
      <c r="I832" s="522"/>
      <c r="J832" s="522"/>
      <c r="K832" s="523"/>
      <c r="L832" s="524"/>
      <c r="M832" s="524"/>
      <c r="N832" s="524"/>
      <c r="O832" s="525"/>
      <c r="P832" s="525"/>
    </row>
    <row r="833" spans="1:16" ht="21.75" customHeight="1" x14ac:dyDescent="0.35">
      <c r="A833" s="519"/>
      <c r="B833" s="519"/>
      <c r="C833" s="519"/>
      <c r="D833" s="519"/>
      <c r="E833" s="522"/>
      <c r="F833" s="522"/>
      <c r="G833" s="522"/>
      <c r="H833" s="522"/>
      <c r="I833" s="522"/>
      <c r="J833" s="522"/>
      <c r="K833" s="523"/>
      <c r="L833" s="524"/>
      <c r="M833" s="524"/>
      <c r="N833" s="524"/>
      <c r="O833" s="525"/>
      <c r="P833" s="525"/>
    </row>
    <row r="834" spans="1:16" ht="21.75" customHeight="1" x14ac:dyDescent="0.35">
      <c r="A834" s="519"/>
      <c r="B834" s="519"/>
      <c r="C834" s="519"/>
      <c r="D834" s="519"/>
      <c r="E834" s="522"/>
      <c r="F834" s="522"/>
      <c r="G834" s="522"/>
      <c r="H834" s="522"/>
      <c r="I834" s="522"/>
      <c r="J834" s="522"/>
      <c r="K834" s="523"/>
      <c r="L834" s="524"/>
      <c r="M834" s="524"/>
      <c r="N834" s="524"/>
      <c r="O834" s="525"/>
      <c r="P834" s="525"/>
    </row>
    <row r="835" spans="1:16" ht="21.75" customHeight="1" x14ac:dyDescent="0.35">
      <c r="A835" s="519"/>
      <c r="B835" s="519"/>
      <c r="C835" s="519"/>
      <c r="D835" s="519"/>
      <c r="E835" s="522"/>
      <c r="F835" s="522"/>
      <c r="G835" s="522"/>
      <c r="H835" s="522"/>
      <c r="I835" s="522"/>
      <c r="J835" s="522"/>
      <c r="K835" s="523"/>
      <c r="L835" s="524"/>
      <c r="M835" s="524"/>
      <c r="N835" s="524"/>
      <c r="O835" s="525"/>
      <c r="P835" s="525"/>
    </row>
    <row r="836" spans="1:16" ht="21.75" customHeight="1" x14ac:dyDescent="0.35">
      <c r="A836" s="519"/>
      <c r="B836" s="519"/>
      <c r="C836" s="519"/>
      <c r="D836" s="519"/>
      <c r="E836" s="522"/>
      <c r="F836" s="522"/>
      <c r="G836" s="522"/>
      <c r="H836" s="522"/>
      <c r="I836" s="522"/>
      <c r="J836" s="522"/>
      <c r="K836" s="523"/>
      <c r="L836" s="524"/>
      <c r="M836" s="524"/>
      <c r="N836" s="524"/>
      <c r="O836" s="525"/>
      <c r="P836" s="525"/>
    </row>
    <row r="837" spans="1:16" ht="21.75" customHeight="1" x14ac:dyDescent="0.35">
      <c r="A837" s="519"/>
      <c r="B837" s="519"/>
      <c r="C837" s="519"/>
      <c r="D837" s="519"/>
      <c r="E837" s="522"/>
      <c r="F837" s="522"/>
      <c r="G837" s="522"/>
      <c r="H837" s="522"/>
      <c r="I837" s="522"/>
      <c r="J837" s="522"/>
      <c r="K837" s="523"/>
      <c r="L837" s="524"/>
      <c r="M837" s="524"/>
      <c r="N837" s="524"/>
      <c r="O837" s="525"/>
      <c r="P837" s="525"/>
    </row>
    <row r="838" spans="1:16" ht="21.75" customHeight="1" x14ac:dyDescent="0.35">
      <c r="A838" s="519"/>
      <c r="B838" s="519"/>
      <c r="C838" s="519"/>
      <c r="D838" s="519"/>
      <c r="E838" s="522"/>
      <c r="F838" s="522"/>
      <c r="G838" s="522"/>
      <c r="H838" s="522"/>
      <c r="I838" s="522"/>
      <c r="J838" s="522"/>
      <c r="K838" s="523"/>
      <c r="L838" s="524"/>
      <c r="M838" s="524"/>
      <c r="N838" s="524"/>
      <c r="O838" s="525"/>
      <c r="P838" s="525"/>
    </row>
    <row r="839" spans="1:16" ht="21.75" customHeight="1" x14ac:dyDescent="0.35">
      <c r="A839" s="519"/>
      <c r="B839" s="519"/>
      <c r="C839" s="519"/>
      <c r="D839" s="519"/>
      <c r="E839" s="522"/>
      <c r="F839" s="522"/>
      <c r="G839" s="522"/>
      <c r="H839" s="522"/>
      <c r="I839" s="522"/>
      <c r="J839" s="522"/>
      <c r="K839" s="523"/>
      <c r="L839" s="524"/>
      <c r="M839" s="524"/>
      <c r="N839" s="524"/>
      <c r="O839" s="525"/>
      <c r="P839" s="525"/>
    </row>
    <row r="840" spans="1:16" ht="21.75" customHeight="1" x14ac:dyDescent="0.35">
      <c r="A840" s="519"/>
      <c r="B840" s="519"/>
      <c r="C840" s="519"/>
      <c r="D840" s="519"/>
      <c r="E840" s="522"/>
      <c r="F840" s="522"/>
      <c r="G840" s="522"/>
      <c r="H840" s="522"/>
      <c r="I840" s="522"/>
      <c r="J840" s="522"/>
      <c r="K840" s="523"/>
      <c r="L840" s="524"/>
      <c r="M840" s="524"/>
      <c r="N840" s="524"/>
      <c r="O840" s="525"/>
      <c r="P840" s="525"/>
    </row>
    <row r="841" spans="1:16" ht="21.75" customHeight="1" x14ac:dyDescent="0.35">
      <c r="A841" s="519"/>
      <c r="B841" s="519"/>
      <c r="C841" s="519"/>
      <c r="D841" s="519"/>
      <c r="E841" s="522"/>
      <c r="F841" s="522"/>
      <c r="G841" s="522"/>
      <c r="H841" s="522"/>
      <c r="I841" s="522"/>
      <c r="J841" s="522"/>
      <c r="K841" s="523"/>
      <c r="L841" s="524"/>
      <c r="M841" s="524"/>
      <c r="N841" s="524"/>
      <c r="O841" s="525"/>
      <c r="P841" s="525"/>
    </row>
    <row r="842" spans="1:16" ht="21.75" customHeight="1" x14ac:dyDescent="0.35">
      <c r="A842" s="519"/>
      <c r="B842" s="519"/>
      <c r="C842" s="519"/>
      <c r="D842" s="519"/>
      <c r="E842" s="522"/>
      <c r="F842" s="522"/>
      <c r="G842" s="522"/>
      <c r="H842" s="522"/>
      <c r="I842" s="522"/>
      <c r="J842" s="522"/>
      <c r="K842" s="523"/>
      <c r="L842" s="524"/>
      <c r="M842" s="524"/>
      <c r="N842" s="524"/>
      <c r="O842" s="525"/>
      <c r="P842" s="525"/>
    </row>
    <row r="843" spans="1:16" ht="21.75" customHeight="1" x14ac:dyDescent="0.35">
      <c r="A843" s="519"/>
      <c r="B843" s="519"/>
      <c r="C843" s="519"/>
      <c r="D843" s="519"/>
      <c r="E843" s="522"/>
      <c r="F843" s="522"/>
      <c r="G843" s="522"/>
      <c r="H843" s="522"/>
      <c r="I843" s="522"/>
      <c r="J843" s="522"/>
      <c r="K843" s="523"/>
      <c r="L843" s="524"/>
      <c r="M843" s="524"/>
      <c r="N843" s="524"/>
      <c r="O843" s="525"/>
      <c r="P843" s="525"/>
    </row>
    <row r="844" spans="1:16" ht="21.75" customHeight="1" x14ac:dyDescent="0.35">
      <c r="A844" s="519"/>
      <c r="B844" s="519"/>
      <c r="C844" s="519"/>
      <c r="D844" s="519"/>
      <c r="E844" s="522"/>
      <c r="F844" s="522"/>
      <c r="G844" s="522"/>
      <c r="H844" s="522"/>
      <c r="I844" s="522"/>
      <c r="J844" s="522"/>
      <c r="K844" s="523"/>
      <c r="L844" s="524"/>
      <c r="M844" s="524"/>
      <c r="N844" s="524"/>
      <c r="O844" s="525"/>
      <c r="P844" s="525"/>
    </row>
    <row r="845" spans="1:16" ht="21.75" customHeight="1" x14ac:dyDescent="0.35">
      <c r="A845" s="519"/>
      <c r="B845" s="519"/>
      <c r="C845" s="519"/>
      <c r="D845" s="519"/>
      <c r="E845" s="522"/>
      <c r="F845" s="522"/>
      <c r="G845" s="522"/>
      <c r="H845" s="522"/>
      <c r="I845" s="522"/>
      <c r="J845" s="522"/>
      <c r="K845" s="523"/>
      <c r="L845" s="524"/>
      <c r="M845" s="524"/>
      <c r="N845" s="524"/>
      <c r="O845" s="525"/>
      <c r="P845" s="525"/>
    </row>
    <row r="846" spans="1:16" ht="21.75" customHeight="1" x14ac:dyDescent="0.35">
      <c r="A846" s="519"/>
      <c r="B846" s="519"/>
      <c r="C846" s="519"/>
      <c r="D846" s="519"/>
      <c r="E846" s="522"/>
      <c r="F846" s="522"/>
      <c r="G846" s="522"/>
      <c r="H846" s="522"/>
      <c r="I846" s="522"/>
      <c r="J846" s="522"/>
      <c r="K846" s="523"/>
      <c r="L846" s="524"/>
      <c r="M846" s="524"/>
      <c r="N846" s="524"/>
      <c r="O846" s="525"/>
      <c r="P846" s="525"/>
    </row>
    <row r="847" spans="1:16" ht="21.75" customHeight="1" x14ac:dyDescent="0.35">
      <c r="A847" s="519"/>
      <c r="B847" s="519"/>
      <c r="C847" s="519"/>
      <c r="D847" s="519"/>
      <c r="E847" s="522"/>
      <c r="F847" s="522"/>
      <c r="G847" s="522"/>
      <c r="H847" s="522"/>
      <c r="I847" s="522"/>
      <c r="J847" s="522"/>
      <c r="K847" s="523"/>
      <c r="L847" s="524"/>
      <c r="M847" s="524"/>
      <c r="N847" s="524"/>
      <c r="O847" s="525"/>
      <c r="P847" s="525"/>
    </row>
    <row r="848" spans="1:16" ht="21.75" customHeight="1" x14ac:dyDescent="0.35">
      <c r="A848" s="519"/>
      <c r="B848" s="519"/>
      <c r="C848" s="519"/>
      <c r="D848" s="519"/>
      <c r="E848" s="522"/>
      <c r="F848" s="522"/>
      <c r="G848" s="522"/>
      <c r="H848" s="522"/>
      <c r="I848" s="522"/>
      <c r="J848" s="522"/>
      <c r="K848" s="523"/>
      <c r="L848" s="524"/>
      <c r="M848" s="524"/>
      <c r="N848" s="524"/>
      <c r="O848" s="525"/>
      <c r="P848" s="525"/>
    </row>
    <row r="849" spans="1:16" ht="21.75" customHeight="1" x14ac:dyDescent="0.35">
      <c r="A849" s="519"/>
      <c r="B849" s="519"/>
      <c r="C849" s="519"/>
      <c r="D849" s="519"/>
      <c r="E849" s="522"/>
      <c r="F849" s="522"/>
      <c r="G849" s="522"/>
      <c r="H849" s="522"/>
      <c r="I849" s="522"/>
      <c r="J849" s="522"/>
      <c r="K849" s="523"/>
      <c r="L849" s="524"/>
      <c r="M849" s="524"/>
      <c r="N849" s="524"/>
      <c r="O849" s="525"/>
      <c r="P849" s="525"/>
    </row>
    <row r="850" spans="1:16" ht="21.75" customHeight="1" x14ac:dyDescent="0.35">
      <c r="A850" s="519"/>
      <c r="B850" s="519"/>
      <c r="C850" s="519"/>
      <c r="D850" s="519"/>
      <c r="E850" s="522"/>
      <c r="F850" s="522"/>
      <c r="G850" s="522"/>
      <c r="H850" s="522"/>
      <c r="I850" s="522"/>
      <c r="J850" s="522"/>
      <c r="K850" s="523"/>
      <c r="L850" s="524"/>
      <c r="M850" s="524"/>
      <c r="N850" s="524"/>
      <c r="O850" s="525"/>
      <c r="P850" s="525"/>
    </row>
    <row r="851" spans="1:16" ht="21.75" customHeight="1" x14ac:dyDescent="0.35">
      <c r="A851" s="519"/>
      <c r="B851" s="519"/>
      <c r="C851" s="519"/>
      <c r="D851" s="519"/>
      <c r="E851" s="522"/>
      <c r="F851" s="522"/>
      <c r="G851" s="522"/>
      <c r="H851" s="522"/>
      <c r="I851" s="522"/>
      <c r="J851" s="522"/>
      <c r="K851" s="523"/>
      <c r="L851" s="524"/>
      <c r="M851" s="524"/>
      <c r="N851" s="524"/>
      <c r="O851" s="525"/>
      <c r="P851" s="525"/>
    </row>
    <row r="852" spans="1:16" ht="21.75" customHeight="1" x14ac:dyDescent="0.35">
      <c r="A852" s="519"/>
      <c r="B852" s="519"/>
      <c r="C852" s="519"/>
      <c r="D852" s="519"/>
      <c r="E852" s="522"/>
      <c r="F852" s="522"/>
      <c r="G852" s="522"/>
      <c r="H852" s="522"/>
      <c r="I852" s="522"/>
      <c r="J852" s="522"/>
      <c r="K852" s="523"/>
      <c r="L852" s="524"/>
      <c r="M852" s="524"/>
      <c r="N852" s="524"/>
      <c r="O852" s="525"/>
      <c r="P852" s="525"/>
    </row>
    <row r="853" spans="1:16" ht="21.75" customHeight="1" x14ac:dyDescent="0.35">
      <c r="A853" s="519"/>
      <c r="B853" s="519"/>
      <c r="C853" s="519"/>
      <c r="D853" s="519"/>
      <c r="E853" s="522"/>
      <c r="F853" s="522"/>
      <c r="G853" s="522"/>
      <c r="H853" s="522"/>
      <c r="I853" s="522"/>
      <c r="J853" s="522"/>
      <c r="K853" s="523"/>
      <c r="L853" s="524"/>
      <c r="M853" s="524"/>
      <c r="N853" s="524"/>
      <c r="O853" s="525"/>
      <c r="P853" s="525"/>
    </row>
    <row r="854" spans="1:16" ht="21.75" customHeight="1" x14ac:dyDescent="0.35">
      <c r="A854" s="519"/>
      <c r="B854" s="519"/>
      <c r="C854" s="519"/>
      <c r="D854" s="519"/>
      <c r="E854" s="522"/>
      <c r="F854" s="522"/>
      <c r="G854" s="522"/>
      <c r="H854" s="522"/>
      <c r="I854" s="522"/>
      <c r="J854" s="522"/>
      <c r="K854" s="523"/>
      <c r="L854" s="524"/>
      <c r="M854" s="524"/>
      <c r="N854" s="524"/>
      <c r="O854" s="525"/>
      <c r="P854" s="525"/>
    </row>
    <row r="855" spans="1:16" ht="21.75" customHeight="1" x14ac:dyDescent="0.35">
      <c r="A855" s="519"/>
      <c r="B855" s="519"/>
      <c r="C855" s="519"/>
      <c r="D855" s="519"/>
      <c r="E855" s="522"/>
      <c r="F855" s="522"/>
      <c r="G855" s="522"/>
      <c r="H855" s="522"/>
      <c r="I855" s="522"/>
      <c r="J855" s="522"/>
      <c r="K855" s="523"/>
      <c r="L855" s="524"/>
      <c r="M855" s="524"/>
      <c r="N855" s="524"/>
      <c r="O855" s="525"/>
      <c r="P855" s="525"/>
    </row>
    <row r="856" spans="1:16" ht="21.75" customHeight="1" x14ac:dyDescent="0.35">
      <c r="A856" s="519"/>
      <c r="B856" s="519"/>
      <c r="C856" s="519"/>
      <c r="D856" s="519"/>
      <c r="E856" s="522"/>
      <c r="F856" s="522"/>
      <c r="G856" s="522"/>
      <c r="H856" s="522"/>
      <c r="I856" s="522"/>
      <c r="J856" s="522"/>
      <c r="K856" s="523"/>
      <c r="L856" s="524"/>
      <c r="M856" s="524"/>
      <c r="N856" s="524"/>
      <c r="O856" s="525"/>
      <c r="P856" s="525"/>
    </row>
    <row r="857" spans="1:16" ht="21.75" customHeight="1" x14ac:dyDescent="0.35">
      <c r="A857" s="519"/>
      <c r="B857" s="519"/>
      <c r="C857" s="519"/>
      <c r="D857" s="519"/>
      <c r="E857" s="522"/>
      <c r="F857" s="522"/>
      <c r="G857" s="522"/>
      <c r="H857" s="522"/>
      <c r="I857" s="522"/>
      <c r="J857" s="522"/>
      <c r="K857" s="523"/>
      <c r="L857" s="524"/>
      <c r="M857" s="524"/>
      <c r="N857" s="524"/>
      <c r="O857" s="525"/>
      <c r="P857" s="525"/>
    </row>
    <row r="858" spans="1:16" ht="21.75" customHeight="1" x14ac:dyDescent="0.35">
      <c r="A858" s="519"/>
      <c r="B858" s="519"/>
      <c r="C858" s="519"/>
      <c r="D858" s="519"/>
      <c r="E858" s="522"/>
      <c r="F858" s="522"/>
      <c r="G858" s="522"/>
      <c r="H858" s="522"/>
      <c r="I858" s="522"/>
      <c r="J858" s="522"/>
      <c r="K858" s="523"/>
      <c r="L858" s="524"/>
      <c r="M858" s="524"/>
      <c r="N858" s="524"/>
      <c r="O858" s="525"/>
      <c r="P858" s="525"/>
    </row>
    <row r="859" spans="1:16" ht="21.75" customHeight="1" x14ac:dyDescent="0.35">
      <c r="A859" s="519"/>
      <c r="B859" s="519"/>
      <c r="C859" s="519"/>
      <c r="D859" s="519"/>
      <c r="E859" s="522"/>
      <c r="F859" s="522"/>
      <c r="G859" s="522"/>
      <c r="H859" s="522"/>
      <c r="I859" s="522"/>
      <c r="J859" s="522"/>
      <c r="K859" s="523"/>
      <c r="L859" s="524"/>
      <c r="M859" s="524"/>
      <c r="N859" s="524"/>
      <c r="O859" s="525"/>
      <c r="P859" s="525"/>
    </row>
    <row r="860" spans="1:16" ht="21.75" customHeight="1" x14ac:dyDescent="0.35">
      <c r="A860" s="519"/>
      <c r="B860" s="519"/>
      <c r="C860" s="519"/>
      <c r="D860" s="519"/>
      <c r="E860" s="522"/>
      <c r="F860" s="522"/>
      <c r="G860" s="522"/>
      <c r="H860" s="522"/>
      <c r="I860" s="522"/>
      <c r="J860" s="522"/>
      <c r="K860" s="523"/>
      <c r="L860" s="524"/>
      <c r="M860" s="524"/>
      <c r="N860" s="524"/>
      <c r="O860" s="525"/>
      <c r="P860" s="525"/>
    </row>
    <row r="861" spans="1:16" ht="21.75" customHeight="1" x14ac:dyDescent="0.35">
      <c r="A861" s="519"/>
      <c r="B861" s="519"/>
      <c r="C861" s="519"/>
      <c r="D861" s="519"/>
      <c r="E861" s="522"/>
      <c r="F861" s="522"/>
      <c r="G861" s="522"/>
      <c r="H861" s="522"/>
      <c r="I861" s="522"/>
      <c r="J861" s="522"/>
      <c r="K861" s="523"/>
      <c r="L861" s="524"/>
      <c r="M861" s="524"/>
      <c r="N861" s="524"/>
      <c r="O861" s="525"/>
      <c r="P861" s="525"/>
    </row>
    <row r="862" spans="1:16" ht="21.75" customHeight="1" x14ac:dyDescent="0.35">
      <c r="A862" s="519"/>
      <c r="B862" s="519"/>
      <c r="C862" s="519"/>
      <c r="D862" s="519"/>
      <c r="E862" s="522"/>
      <c r="F862" s="522"/>
      <c r="G862" s="522"/>
      <c r="H862" s="522"/>
      <c r="I862" s="522"/>
      <c r="J862" s="522"/>
      <c r="K862" s="523"/>
      <c r="L862" s="524"/>
      <c r="M862" s="524"/>
      <c r="N862" s="524"/>
      <c r="O862" s="525"/>
      <c r="P862" s="525"/>
    </row>
    <row r="863" spans="1:16" ht="21.75" customHeight="1" x14ac:dyDescent="0.35">
      <c r="A863" s="519"/>
      <c r="B863" s="519"/>
      <c r="C863" s="519"/>
      <c r="D863" s="519"/>
      <c r="E863" s="522"/>
      <c r="F863" s="522"/>
      <c r="G863" s="522"/>
      <c r="H863" s="522"/>
      <c r="I863" s="522"/>
      <c r="J863" s="522"/>
      <c r="K863" s="523"/>
      <c r="L863" s="524"/>
      <c r="M863" s="524"/>
      <c r="N863" s="524"/>
      <c r="O863" s="525"/>
      <c r="P863" s="525"/>
    </row>
    <row r="864" spans="1:16" ht="21.75" customHeight="1" x14ac:dyDescent="0.35">
      <c r="A864" s="519"/>
      <c r="B864" s="519"/>
      <c r="C864" s="519"/>
      <c r="D864" s="519"/>
      <c r="E864" s="522"/>
      <c r="F864" s="522"/>
      <c r="G864" s="522"/>
      <c r="H864" s="522"/>
      <c r="I864" s="522"/>
      <c r="J864" s="522"/>
      <c r="K864" s="523"/>
      <c r="L864" s="524"/>
      <c r="M864" s="524"/>
      <c r="N864" s="524"/>
      <c r="O864" s="525"/>
      <c r="P864" s="525"/>
    </row>
    <row r="865" spans="1:16" ht="21.75" customHeight="1" x14ac:dyDescent="0.35">
      <c r="A865" s="519"/>
      <c r="B865" s="519"/>
      <c r="C865" s="519"/>
      <c r="D865" s="519"/>
      <c r="E865" s="522"/>
      <c r="F865" s="522"/>
      <c r="G865" s="522"/>
      <c r="H865" s="522"/>
      <c r="I865" s="522"/>
      <c r="J865" s="522"/>
      <c r="K865" s="523"/>
      <c r="L865" s="524"/>
      <c r="M865" s="524"/>
      <c r="N865" s="524"/>
      <c r="O865" s="525"/>
      <c r="P865" s="525"/>
    </row>
    <row r="866" spans="1:16" ht="21.75" customHeight="1" x14ac:dyDescent="0.35">
      <c r="A866" s="519"/>
      <c r="B866" s="519"/>
      <c r="C866" s="519"/>
      <c r="D866" s="519"/>
      <c r="E866" s="522"/>
      <c r="F866" s="522"/>
      <c r="G866" s="522"/>
      <c r="H866" s="522"/>
      <c r="I866" s="522"/>
      <c r="J866" s="522"/>
      <c r="K866" s="523"/>
      <c r="L866" s="524"/>
      <c r="M866" s="524"/>
      <c r="N866" s="524"/>
      <c r="O866" s="525"/>
      <c r="P866" s="525"/>
    </row>
    <row r="867" spans="1:16" ht="21.75" customHeight="1" x14ac:dyDescent="0.35">
      <c r="A867" s="519"/>
      <c r="B867" s="519"/>
      <c r="C867" s="519"/>
      <c r="D867" s="519"/>
      <c r="E867" s="522"/>
      <c r="F867" s="522"/>
      <c r="G867" s="522"/>
      <c r="H867" s="522"/>
      <c r="I867" s="522"/>
      <c r="J867" s="522"/>
      <c r="K867" s="523"/>
      <c r="L867" s="524"/>
      <c r="M867" s="524"/>
      <c r="N867" s="524"/>
      <c r="O867" s="525"/>
      <c r="P867" s="525"/>
    </row>
    <row r="868" spans="1:16" ht="21.75" customHeight="1" x14ac:dyDescent="0.35">
      <c r="A868" s="519"/>
      <c r="B868" s="519"/>
      <c r="C868" s="519"/>
      <c r="D868" s="519"/>
      <c r="E868" s="522"/>
      <c r="F868" s="522"/>
      <c r="G868" s="522"/>
      <c r="H868" s="522"/>
      <c r="I868" s="522"/>
      <c r="J868" s="522"/>
      <c r="K868" s="523"/>
      <c r="L868" s="524"/>
      <c r="M868" s="524"/>
      <c r="N868" s="524"/>
      <c r="O868" s="525"/>
      <c r="P868" s="525"/>
    </row>
    <row r="869" spans="1:16" ht="21.75" customHeight="1" x14ac:dyDescent="0.35">
      <c r="A869" s="519"/>
      <c r="B869" s="519"/>
      <c r="C869" s="519"/>
      <c r="D869" s="519"/>
      <c r="E869" s="522"/>
      <c r="F869" s="522"/>
      <c r="G869" s="522"/>
      <c r="H869" s="522"/>
      <c r="I869" s="522"/>
      <c r="J869" s="522"/>
      <c r="K869" s="523"/>
      <c r="L869" s="524"/>
      <c r="M869" s="524"/>
      <c r="N869" s="524"/>
      <c r="O869" s="525"/>
      <c r="P869" s="525"/>
    </row>
    <row r="870" spans="1:16" ht="21.75" customHeight="1" x14ac:dyDescent="0.35">
      <c r="A870" s="519"/>
      <c r="B870" s="519"/>
      <c r="C870" s="519"/>
      <c r="D870" s="519"/>
      <c r="E870" s="522"/>
      <c r="F870" s="522"/>
      <c r="G870" s="522"/>
      <c r="H870" s="522"/>
      <c r="I870" s="522"/>
      <c r="J870" s="522"/>
      <c r="K870" s="523"/>
      <c r="L870" s="524"/>
      <c r="M870" s="524"/>
      <c r="N870" s="524"/>
      <c r="O870" s="525"/>
      <c r="P870" s="525"/>
    </row>
    <row r="871" spans="1:16" ht="21.75" customHeight="1" x14ac:dyDescent="0.35">
      <c r="A871" s="519"/>
      <c r="B871" s="519"/>
      <c r="C871" s="519"/>
      <c r="D871" s="519"/>
      <c r="E871" s="522"/>
      <c r="F871" s="522"/>
      <c r="G871" s="522"/>
      <c r="H871" s="522"/>
      <c r="I871" s="522"/>
      <c r="J871" s="522"/>
      <c r="K871" s="523"/>
      <c r="L871" s="524"/>
      <c r="M871" s="524"/>
      <c r="N871" s="524"/>
      <c r="O871" s="525"/>
      <c r="P871" s="525"/>
    </row>
    <row r="872" spans="1:16" ht="21.75" customHeight="1" x14ac:dyDescent="0.35">
      <c r="A872" s="519"/>
      <c r="B872" s="519"/>
      <c r="C872" s="519"/>
      <c r="D872" s="519"/>
      <c r="E872" s="522"/>
      <c r="F872" s="522"/>
      <c r="G872" s="522"/>
      <c r="H872" s="522"/>
      <c r="I872" s="522"/>
      <c r="J872" s="522"/>
      <c r="K872" s="523"/>
      <c r="L872" s="524"/>
      <c r="M872" s="524"/>
      <c r="N872" s="524"/>
      <c r="O872" s="525"/>
      <c r="P872" s="525"/>
    </row>
    <row r="873" spans="1:16" ht="21.75" customHeight="1" x14ac:dyDescent="0.35">
      <c r="A873" s="519"/>
      <c r="B873" s="519"/>
      <c r="C873" s="519"/>
      <c r="D873" s="519"/>
      <c r="E873" s="522"/>
      <c r="F873" s="522"/>
      <c r="G873" s="522"/>
      <c r="H873" s="522"/>
      <c r="I873" s="522"/>
      <c r="J873" s="522"/>
      <c r="K873" s="523"/>
      <c r="L873" s="524"/>
      <c r="M873" s="524"/>
      <c r="N873" s="524"/>
      <c r="O873" s="525"/>
      <c r="P873" s="525"/>
    </row>
    <row r="874" spans="1:16" ht="21.75" customHeight="1" x14ac:dyDescent="0.35">
      <c r="A874" s="519"/>
      <c r="B874" s="519"/>
      <c r="C874" s="519"/>
      <c r="D874" s="519"/>
      <c r="E874" s="522"/>
      <c r="F874" s="522"/>
      <c r="G874" s="522"/>
      <c r="H874" s="522"/>
      <c r="I874" s="522"/>
      <c r="J874" s="522"/>
      <c r="K874" s="523"/>
      <c r="L874" s="524"/>
      <c r="M874" s="524"/>
      <c r="N874" s="524"/>
      <c r="O874" s="525"/>
      <c r="P874" s="525"/>
    </row>
    <row r="875" spans="1:16" ht="21.75" customHeight="1" x14ac:dyDescent="0.35">
      <c r="A875" s="519"/>
      <c r="B875" s="519"/>
      <c r="C875" s="519"/>
      <c r="D875" s="519"/>
      <c r="E875" s="522"/>
      <c r="F875" s="522"/>
      <c r="G875" s="522"/>
      <c r="H875" s="522"/>
      <c r="I875" s="522"/>
      <c r="J875" s="522"/>
      <c r="K875" s="523"/>
      <c r="L875" s="524"/>
      <c r="M875" s="524"/>
      <c r="N875" s="524"/>
      <c r="O875" s="525"/>
      <c r="P875" s="525"/>
    </row>
    <row r="876" spans="1:16" ht="21.75" customHeight="1" x14ac:dyDescent="0.35">
      <c r="A876" s="519"/>
      <c r="B876" s="519"/>
      <c r="C876" s="519"/>
      <c r="D876" s="519"/>
      <c r="E876" s="522"/>
      <c r="F876" s="522"/>
      <c r="G876" s="522"/>
      <c r="H876" s="522"/>
      <c r="I876" s="522"/>
      <c r="J876" s="522"/>
      <c r="K876" s="523"/>
      <c r="L876" s="524"/>
      <c r="M876" s="524"/>
      <c r="N876" s="524"/>
      <c r="O876" s="525"/>
      <c r="P876" s="525"/>
    </row>
    <row r="877" spans="1:16" ht="21.75" customHeight="1" x14ac:dyDescent="0.35">
      <c r="A877" s="519"/>
      <c r="B877" s="519"/>
      <c r="C877" s="519"/>
      <c r="D877" s="519"/>
      <c r="E877" s="522"/>
      <c r="F877" s="522"/>
      <c r="G877" s="522"/>
      <c r="H877" s="522"/>
      <c r="I877" s="522"/>
      <c r="J877" s="522"/>
      <c r="K877" s="523"/>
      <c r="L877" s="524"/>
      <c r="M877" s="524"/>
      <c r="N877" s="524"/>
      <c r="O877" s="525"/>
      <c r="P877" s="525"/>
    </row>
    <row r="878" spans="1:16" ht="21.75" customHeight="1" x14ac:dyDescent="0.35">
      <c r="A878" s="519"/>
      <c r="B878" s="519"/>
      <c r="C878" s="519"/>
      <c r="D878" s="519"/>
      <c r="E878" s="522"/>
      <c r="F878" s="522"/>
      <c r="G878" s="522"/>
      <c r="H878" s="522"/>
      <c r="I878" s="522"/>
      <c r="J878" s="522"/>
      <c r="K878" s="523"/>
      <c r="L878" s="524"/>
      <c r="M878" s="524"/>
      <c r="N878" s="524"/>
      <c r="O878" s="525"/>
      <c r="P878" s="525"/>
    </row>
    <row r="879" spans="1:16" ht="21.75" customHeight="1" x14ac:dyDescent="0.35">
      <c r="A879" s="519"/>
      <c r="B879" s="519"/>
      <c r="C879" s="519"/>
      <c r="D879" s="519"/>
      <c r="E879" s="522"/>
      <c r="F879" s="522"/>
      <c r="G879" s="522"/>
      <c r="H879" s="522"/>
      <c r="I879" s="522"/>
      <c r="J879" s="522"/>
      <c r="K879" s="523"/>
      <c r="L879" s="524"/>
      <c r="M879" s="524"/>
      <c r="N879" s="524"/>
      <c r="O879" s="525"/>
      <c r="P879" s="525"/>
    </row>
    <row r="880" spans="1:16" ht="21.75" customHeight="1" x14ac:dyDescent="0.35">
      <c r="A880" s="519"/>
      <c r="B880" s="519"/>
      <c r="C880" s="519"/>
      <c r="D880" s="519"/>
      <c r="E880" s="522"/>
      <c r="F880" s="522"/>
      <c r="G880" s="522"/>
      <c r="H880" s="522"/>
      <c r="I880" s="522"/>
      <c r="J880" s="522"/>
      <c r="K880" s="523"/>
      <c r="L880" s="524"/>
      <c r="M880" s="524"/>
      <c r="N880" s="524"/>
      <c r="O880" s="525"/>
      <c r="P880" s="525"/>
    </row>
    <row r="881" spans="1:16" ht="21.75" customHeight="1" x14ac:dyDescent="0.35">
      <c r="A881" s="519"/>
      <c r="B881" s="519"/>
      <c r="C881" s="519"/>
      <c r="D881" s="519"/>
      <c r="E881" s="522"/>
      <c r="F881" s="522"/>
      <c r="G881" s="522"/>
      <c r="H881" s="522"/>
      <c r="I881" s="522"/>
      <c r="J881" s="522"/>
      <c r="K881" s="523"/>
      <c r="L881" s="524"/>
      <c r="M881" s="524"/>
      <c r="N881" s="524"/>
      <c r="O881" s="525"/>
      <c r="P881" s="525"/>
    </row>
    <row r="882" spans="1:16" ht="21.75" customHeight="1" x14ac:dyDescent="0.35">
      <c r="A882" s="519"/>
      <c r="B882" s="519"/>
      <c r="C882" s="519"/>
      <c r="D882" s="519"/>
      <c r="E882" s="522"/>
      <c r="F882" s="522"/>
      <c r="G882" s="522"/>
      <c r="H882" s="522"/>
      <c r="I882" s="522"/>
      <c r="J882" s="522"/>
      <c r="K882" s="523"/>
      <c r="L882" s="524"/>
      <c r="M882" s="524"/>
      <c r="N882" s="524"/>
      <c r="O882" s="525"/>
      <c r="P882" s="525"/>
    </row>
    <row r="883" spans="1:16" ht="21.75" customHeight="1" x14ac:dyDescent="0.35">
      <c r="A883" s="519"/>
      <c r="B883" s="519"/>
      <c r="C883" s="519"/>
      <c r="D883" s="519"/>
      <c r="E883" s="522"/>
      <c r="F883" s="522"/>
      <c r="G883" s="522"/>
      <c r="H883" s="522"/>
      <c r="I883" s="522"/>
      <c r="J883" s="522"/>
      <c r="K883" s="523"/>
      <c r="L883" s="524"/>
      <c r="M883" s="524"/>
      <c r="N883" s="524"/>
      <c r="O883" s="525"/>
      <c r="P883" s="525"/>
    </row>
    <row r="884" spans="1:16" ht="21.75" customHeight="1" x14ac:dyDescent="0.35">
      <c r="A884" s="519"/>
      <c r="B884" s="519"/>
      <c r="C884" s="519"/>
      <c r="D884" s="519"/>
      <c r="E884" s="522"/>
      <c r="F884" s="522"/>
      <c r="G884" s="522"/>
      <c r="H884" s="522"/>
      <c r="I884" s="522"/>
      <c r="J884" s="522"/>
      <c r="K884" s="523"/>
      <c r="L884" s="524"/>
      <c r="M884" s="524"/>
      <c r="N884" s="524"/>
      <c r="O884" s="525"/>
      <c r="P884" s="525"/>
    </row>
    <row r="885" spans="1:16" ht="21.75" customHeight="1" x14ac:dyDescent="0.35">
      <c r="A885" s="519"/>
      <c r="B885" s="519"/>
      <c r="C885" s="519"/>
      <c r="D885" s="519"/>
      <c r="E885" s="522"/>
      <c r="F885" s="522"/>
      <c r="G885" s="522"/>
      <c r="H885" s="522"/>
      <c r="I885" s="522"/>
      <c r="J885" s="522"/>
      <c r="K885" s="523"/>
      <c r="L885" s="524"/>
      <c r="M885" s="524"/>
      <c r="N885" s="524"/>
      <c r="O885" s="525"/>
      <c r="P885" s="525"/>
    </row>
    <row r="886" spans="1:16" ht="21.75" customHeight="1" x14ac:dyDescent="0.35">
      <c r="A886" s="519"/>
      <c r="B886" s="519"/>
      <c r="C886" s="519"/>
      <c r="D886" s="519"/>
      <c r="E886" s="522"/>
      <c r="F886" s="522"/>
      <c r="G886" s="522"/>
      <c r="H886" s="522"/>
      <c r="I886" s="522"/>
      <c r="J886" s="522"/>
      <c r="K886" s="523"/>
      <c r="L886" s="524"/>
      <c r="M886" s="524"/>
      <c r="N886" s="524"/>
      <c r="O886" s="525"/>
      <c r="P886" s="525"/>
    </row>
    <row r="887" spans="1:16" ht="21.75" customHeight="1" x14ac:dyDescent="0.35">
      <c r="A887" s="519"/>
      <c r="B887" s="519"/>
      <c r="C887" s="519"/>
      <c r="D887" s="519"/>
      <c r="E887" s="522"/>
      <c r="F887" s="522"/>
      <c r="G887" s="522"/>
      <c r="H887" s="522"/>
      <c r="I887" s="522"/>
      <c r="J887" s="522"/>
      <c r="K887" s="523"/>
      <c r="L887" s="524"/>
      <c r="M887" s="524"/>
      <c r="N887" s="524"/>
      <c r="O887" s="525"/>
      <c r="P887" s="525"/>
    </row>
    <row r="888" spans="1:16" ht="21.75" customHeight="1" x14ac:dyDescent="0.35">
      <c r="A888" s="519"/>
      <c r="B888" s="519"/>
      <c r="C888" s="519"/>
      <c r="D888" s="519"/>
      <c r="E888" s="522"/>
      <c r="F888" s="522"/>
      <c r="G888" s="522"/>
      <c r="H888" s="522"/>
      <c r="I888" s="522"/>
      <c r="J888" s="522"/>
      <c r="K888" s="523"/>
      <c r="L888" s="524"/>
      <c r="M888" s="524"/>
      <c r="N888" s="524"/>
      <c r="O888" s="525"/>
      <c r="P888" s="525"/>
    </row>
    <row r="889" spans="1:16" ht="21.75" customHeight="1" x14ac:dyDescent="0.35">
      <c r="A889" s="519"/>
      <c r="B889" s="519"/>
      <c r="C889" s="519"/>
      <c r="D889" s="519"/>
      <c r="E889" s="522"/>
      <c r="F889" s="522"/>
      <c r="G889" s="522"/>
      <c r="H889" s="522"/>
      <c r="I889" s="522"/>
      <c r="J889" s="522"/>
      <c r="K889" s="523"/>
      <c r="L889" s="524"/>
      <c r="M889" s="524"/>
      <c r="N889" s="524"/>
      <c r="O889" s="525"/>
      <c r="P889" s="525"/>
    </row>
    <row r="890" spans="1:16" ht="21.75" customHeight="1" x14ac:dyDescent="0.35">
      <c r="A890" s="519"/>
      <c r="B890" s="519"/>
      <c r="C890" s="519"/>
      <c r="D890" s="519"/>
      <c r="E890" s="522"/>
      <c r="F890" s="522"/>
      <c r="G890" s="522"/>
      <c r="H890" s="522"/>
      <c r="I890" s="522"/>
      <c r="J890" s="522"/>
      <c r="K890" s="523"/>
      <c r="L890" s="524"/>
      <c r="M890" s="524"/>
      <c r="N890" s="524"/>
      <c r="O890" s="525"/>
      <c r="P890" s="525"/>
    </row>
    <row r="891" spans="1:16" ht="21.75" customHeight="1" x14ac:dyDescent="0.35">
      <c r="A891" s="519"/>
      <c r="B891" s="519"/>
      <c r="C891" s="519"/>
      <c r="D891" s="519"/>
      <c r="E891" s="522"/>
      <c r="F891" s="522"/>
      <c r="G891" s="522"/>
      <c r="H891" s="522"/>
      <c r="I891" s="522"/>
      <c r="J891" s="522"/>
      <c r="K891" s="523"/>
      <c r="L891" s="524"/>
      <c r="M891" s="524"/>
      <c r="N891" s="524"/>
      <c r="O891" s="525"/>
      <c r="P891" s="525"/>
    </row>
    <row r="892" spans="1:16" ht="21.75" customHeight="1" x14ac:dyDescent="0.35">
      <c r="A892" s="519"/>
      <c r="B892" s="519"/>
      <c r="C892" s="519"/>
      <c r="D892" s="519"/>
      <c r="E892" s="522"/>
      <c r="F892" s="522"/>
      <c r="G892" s="522"/>
      <c r="H892" s="522"/>
      <c r="I892" s="522"/>
      <c r="J892" s="522"/>
      <c r="K892" s="523"/>
      <c r="L892" s="524"/>
      <c r="M892" s="524"/>
      <c r="N892" s="524"/>
      <c r="O892" s="525"/>
      <c r="P892" s="525"/>
    </row>
    <row r="893" spans="1:16" ht="21.75" customHeight="1" x14ac:dyDescent="0.35">
      <c r="A893" s="519"/>
      <c r="B893" s="519"/>
      <c r="C893" s="519"/>
      <c r="D893" s="519"/>
      <c r="E893" s="522"/>
      <c r="F893" s="522"/>
      <c r="G893" s="522"/>
      <c r="H893" s="522"/>
      <c r="I893" s="522"/>
      <c r="J893" s="522"/>
      <c r="K893" s="523"/>
      <c r="L893" s="524"/>
      <c r="M893" s="524"/>
      <c r="N893" s="524"/>
      <c r="O893" s="525"/>
      <c r="P893" s="525"/>
    </row>
    <row r="894" spans="1:16" ht="21.75" customHeight="1" x14ac:dyDescent="0.35">
      <c r="A894" s="519"/>
      <c r="B894" s="519"/>
      <c r="C894" s="519"/>
      <c r="D894" s="519"/>
      <c r="E894" s="522"/>
      <c r="F894" s="522"/>
      <c r="G894" s="522"/>
      <c r="H894" s="522"/>
      <c r="I894" s="522"/>
      <c r="J894" s="522"/>
      <c r="K894" s="523"/>
      <c r="L894" s="524"/>
      <c r="M894" s="524"/>
      <c r="N894" s="524"/>
      <c r="O894" s="525"/>
      <c r="P894" s="525"/>
    </row>
    <row r="895" spans="1:16" ht="21.75" customHeight="1" x14ac:dyDescent="0.35">
      <c r="A895" s="519"/>
      <c r="B895" s="519"/>
      <c r="C895" s="519"/>
      <c r="D895" s="519"/>
      <c r="E895" s="522"/>
      <c r="F895" s="522"/>
      <c r="G895" s="522"/>
      <c r="H895" s="522"/>
      <c r="I895" s="522"/>
      <c r="J895" s="522"/>
      <c r="K895" s="523"/>
      <c r="L895" s="524"/>
      <c r="M895" s="524"/>
      <c r="N895" s="524"/>
      <c r="O895" s="525"/>
      <c r="P895" s="525"/>
    </row>
    <row r="896" spans="1:16" ht="21.75" customHeight="1" x14ac:dyDescent="0.35">
      <c r="A896" s="519"/>
      <c r="B896" s="519"/>
      <c r="C896" s="519"/>
      <c r="D896" s="519"/>
      <c r="E896" s="522"/>
      <c r="F896" s="522"/>
      <c r="G896" s="522"/>
      <c r="H896" s="522"/>
      <c r="I896" s="522"/>
      <c r="J896" s="522"/>
      <c r="K896" s="523"/>
      <c r="L896" s="524"/>
      <c r="M896" s="524"/>
      <c r="N896" s="524"/>
      <c r="O896" s="525"/>
      <c r="P896" s="525"/>
    </row>
    <row r="897" spans="1:16" ht="21.75" customHeight="1" x14ac:dyDescent="0.35">
      <c r="A897" s="519"/>
      <c r="B897" s="519"/>
      <c r="C897" s="519"/>
      <c r="D897" s="519"/>
      <c r="E897" s="522"/>
      <c r="F897" s="522"/>
      <c r="G897" s="522"/>
      <c r="H897" s="522"/>
      <c r="I897" s="522"/>
      <c r="J897" s="522"/>
      <c r="K897" s="523"/>
      <c r="L897" s="524"/>
      <c r="M897" s="524"/>
      <c r="N897" s="524"/>
      <c r="O897" s="525"/>
      <c r="P897" s="525"/>
    </row>
    <row r="898" spans="1:16" ht="21.75" customHeight="1" x14ac:dyDescent="0.35">
      <c r="A898" s="519"/>
      <c r="B898" s="519"/>
      <c r="C898" s="519"/>
      <c r="D898" s="519"/>
      <c r="E898" s="522"/>
      <c r="F898" s="522"/>
      <c r="G898" s="522"/>
      <c r="H898" s="522"/>
      <c r="I898" s="522"/>
      <c r="J898" s="522"/>
      <c r="K898" s="523"/>
      <c r="L898" s="524"/>
      <c r="M898" s="524"/>
      <c r="N898" s="524"/>
      <c r="O898" s="525"/>
      <c r="P898" s="525"/>
    </row>
    <row r="899" spans="1:16" ht="21.75" customHeight="1" x14ac:dyDescent="0.35">
      <c r="A899" s="519"/>
      <c r="B899" s="519"/>
      <c r="C899" s="519"/>
      <c r="D899" s="519"/>
      <c r="E899" s="522"/>
      <c r="F899" s="522"/>
      <c r="G899" s="522"/>
      <c r="H899" s="522"/>
      <c r="I899" s="522"/>
      <c r="J899" s="522"/>
      <c r="K899" s="523"/>
      <c r="L899" s="524"/>
      <c r="M899" s="524"/>
      <c r="N899" s="524"/>
      <c r="O899" s="525"/>
      <c r="P899" s="525"/>
    </row>
    <row r="900" spans="1:16" ht="21.75" customHeight="1" x14ac:dyDescent="0.35">
      <c r="A900" s="519"/>
      <c r="B900" s="519"/>
      <c r="C900" s="519"/>
      <c r="D900" s="519"/>
      <c r="E900" s="522"/>
      <c r="F900" s="522"/>
      <c r="G900" s="522"/>
      <c r="H900" s="522"/>
      <c r="I900" s="522"/>
      <c r="J900" s="522"/>
      <c r="K900" s="523"/>
      <c r="L900" s="524"/>
      <c r="M900" s="524"/>
      <c r="N900" s="524"/>
      <c r="O900" s="525"/>
      <c r="P900" s="525"/>
    </row>
    <row r="901" spans="1:16" ht="21.75" customHeight="1" x14ac:dyDescent="0.35">
      <c r="A901" s="519"/>
      <c r="B901" s="519"/>
      <c r="C901" s="519"/>
      <c r="D901" s="519"/>
      <c r="E901" s="522"/>
      <c r="F901" s="522"/>
      <c r="G901" s="522"/>
      <c r="H901" s="522"/>
      <c r="I901" s="522"/>
      <c r="J901" s="522"/>
      <c r="K901" s="523"/>
      <c r="L901" s="524"/>
      <c r="M901" s="524"/>
      <c r="N901" s="524"/>
      <c r="O901" s="525"/>
      <c r="P901" s="525"/>
    </row>
    <row r="902" spans="1:16" ht="21.75" customHeight="1" x14ac:dyDescent="0.35">
      <c r="A902" s="519"/>
      <c r="B902" s="519"/>
      <c r="C902" s="519"/>
      <c r="D902" s="519"/>
      <c r="E902" s="522"/>
      <c r="F902" s="522"/>
      <c r="G902" s="522"/>
      <c r="H902" s="522"/>
      <c r="I902" s="522"/>
      <c r="J902" s="522"/>
      <c r="K902" s="523"/>
      <c r="L902" s="524"/>
      <c r="M902" s="524"/>
      <c r="N902" s="524"/>
      <c r="O902" s="525"/>
      <c r="P902" s="525"/>
    </row>
    <row r="903" spans="1:16" ht="21.75" customHeight="1" x14ac:dyDescent="0.35">
      <c r="A903" s="519"/>
      <c r="B903" s="519"/>
      <c r="C903" s="519"/>
      <c r="D903" s="519"/>
      <c r="E903" s="522"/>
      <c r="F903" s="522"/>
      <c r="G903" s="522"/>
      <c r="H903" s="522"/>
      <c r="I903" s="522"/>
      <c r="J903" s="522"/>
      <c r="K903" s="523"/>
      <c r="L903" s="524"/>
      <c r="M903" s="524"/>
      <c r="N903" s="524"/>
      <c r="O903" s="525"/>
      <c r="P903" s="525"/>
    </row>
    <row r="904" spans="1:16" ht="21.75" customHeight="1" x14ac:dyDescent="0.35">
      <c r="A904" s="519"/>
      <c r="B904" s="519"/>
      <c r="C904" s="519"/>
      <c r="D904" s="519"/>
      <c r="E904" s="522"/>
      <c r="F904" s="522"/>
      <c r="G904" s="522"/>
      <c r="H904" s="522"/>
      <c r="I904" s="522"/>
      <c r="J904" s="522"/>
      <c r="K904" s="523"/>
      <c r="L904" s="524"/>
      <c r="M904" s="524"/>
      <c r="N904" s="524"/>
      <c r="O904" s="525"/>
      <c r="P904" s="525"/>
    </row>
    <row r="905" spans="1:16" ht="21.75" customHeight="1" x14ac:dyDescent="0.35">
      <c r="A905" s="519"/>
      <c r="B905" s="519"/>
      <c r="C905" s="519"/>
      <c r="D905" s="519"/>
      <c r="E905" s="522"/>
      <c r="F905" s="522"/>
      <c r="G905" s="522"/>
      <c r="H905" s="522"/>
      <c r="I905" s="522"/>
      <c r="J905" s="522"/>
      <c r="K905" s="523"/>
      <c r="L905" s="524"/>
      <c r="M905" s="524"/>
      <c r="N905" s="524"/>
      <c r="O905" s="525"/>
      <c r="P905" s="525"/>
    </row>
    <row r="906" spans="1:16" ht="21.75" customHeight="1" x14ac:dyDescent="0.35">
      <c r="A906" s="519"/>
      <c r="B906" s="519"/>
      <c r="C906" s="519"/>
      <c r="D906" s="519"/>
      <c r="E906" s="522"/>
      <c r="F906" s="522"/>
      <c r="G906" s="522"/>
      <c r="H906" s="522"/>
      <c r="I906" s="522"/>
      <c r="J906" s="522"/>
      <c r="K906" s="523"/>
      <c r="L906" s="524"/>
      <c r="M906" s="524"/>
      <c r="N906" s="524"/>
      <c r="O906" s="525"/>
      <c r="P906" s="525"/>
    </row>
    <row r="907" spans="1:16" ht="21.75" customHeight="1" x14ac:dyDescent="0.35">
      <c r="A907" s="519"/>
      <c r="B907" s="519"/>
      <c r="C907" s="519"/>
      <c r="D907" s="519"/>
      <c r="E907" s="522"/>
      <c r="F907" s="522"/>
      <c r="G907" s="522"/>
      <c r="H907" s="522"/>
      <c r="I907" s="522"/>
      <c r="J907" s="522"/>
      <c r="K907" s="523"/>
      <c r="L907" s="524"/>
      <c r="M907" s="524"/>
      <c r="N907" s="524"/>
      <c r="O907" s="525"/>
      <c r="P907" s="525"/>
    </row>
    <row r="908" spans="1:16" ht="21.75" customHeight="1" x14ac:dyDescent="0.35">
      <c r="A908" s="519"/>
      <c r="B908" s="519"/>
      <c r="C908" s="519"/>
      <c r="D908" s="519"/>
      <c r="E908" s="522"/>
      <c r="F908" s="522"/>
      <c r="G908" s="522"/>
      <c r="H908" s="522"/>
      <c r="I908" s="522"/>
      <c r="J908" s="522"/>
      <c r="K908" s="523"/>
      <c r="L908" s="524"/>
      <c r="M908" s="524"/>
      <c r="N908" s="524"/>
      <c r="O908" s="525"/>
      <c r="P908" s="525"/>
    </row>
    <row r="909" spans="1:16" ht="21.75" customHeight="1" x14ac:dyDescent="0.35">
      <c r="A909" s="519"/>
      <c r="B909" s="519"/>
      <c r="C909" s="519"/>
      <c r="D909" s="519"/>
      <c r="E909" s="522"/>
      <c r="F909" s="522"/>
      <c r="G909" s="522"/>
      <c r="H909" s="522"/>
      <c r="I909" s="522"/>
      <c r="J909" s="522"/>
      <c r="K909" s="523"/>
      <c r="L909" s="524"/>
      <c r="M909" s="524"/>
      <c r="N909" s="524"/>
      <c r="O909" s="525"/>
      <c r="P909" s="525"/>
    </row>
    <row r="910" spans="1:16" ht="21.75" customHeight="1" x14ac:dyDescent="0.35">
      <c r="A910" s="519"/>
      <c r="B910" s="519"/>
      <c r="C910" s="519"/>
      <c r="D910" s="519"/>
      <c r="E910" s="522"/>
      <c r="F910" s="522"/>
      <c r="G910" s="522"/>
      <c r="H910" s="522"/>
      <c r="I910" s="522"/>
      <c r="J910" s="522"/>
      <c r="K910" s="523"/>
      <c r="L910" s="524"/>
      <c r="M910" s="524"/>
      <c r="N910" s="524"/>
      <c r="O910" s="525"/>
      <c r="P910" s="525"/>
    </row>
    <row r="911" spans="1:16" ht="21.75" customHeight="1" x14ac:dyDescent="0.35">
      <c r="A911" s="519"/>
      <c r="B911" s="519"/>
      <c r="C911" s="519"/>
      <c r="D911" s="519"/>
      <c r="E911" s="522"/>
      <c r="F911" s="522"/>
      <c r="G911" s="522"/>
      <c r="H911" s="522"/>
      <c r="I911" s="522"/>
      <c r="J911" s="522"/>
      <c r="K911" s="523"/>
      <c r="L911" s="524"/>
      <c r="M911" s="524"/>
      <c r="N911" s="524"/>
      <c r="O911" s="525"/>
      <c r="P911" s="525"/>
    </row>
    <row r="912" spans="1:16" ht="21.75" customHeight="1" x14ac:dyDescent="0.35">
      <c r="A912" s="519"/>
      <c r="B912" s="519"/>
      <c r="C912" s="519"/>
      <c r="D912" s="519"/>
      <c r="E912" s="522"/>
      <c r="F912" s="522"/>
      <c r="G912" s="522"/>
      <c r="H912" s="522"/>
      <c r="I912" s="522"/>
      <c r="J912" s="522"/>
      <c r="K912" s="523"/>
      <c r="L912" s="524"/>
      <c r="M912" s="524"/>
      <c r="N912" s="524"/>
      <c r="O912" s="525"/>
      <c r="P912" s="525"/>
    </row>
    <row r="913" spans="1:16" ht="21.75" customHeight="1" x14ac:dyDescent="0.35">
      <c r="A913" s="519"/>
      <c r="B913" s="519"/>
      <c r="C913" s="519"/>
      <c r="D913" s="519"/>
      <c r="E913" s="522"/>
      <c r="F913" s="522"/>
      <c r="G913" s="522"/>
      <c r="H913" s="522"/>
      <c r="I913" s="522"/>
      <c r="J913" s="522"/>
      <c r="K913" s="523"/>
      <c r="L913" s="524"/>
      <c r="M913" s="524"/>
      <c r="N913" s="524"/>
      <c r="O913" s="525"/>
      <c r="P913" s="525"/>
    </row>
    <row r="914" spans="1:16" ht="21.75" customHeight="1" x14ac:dyDescent="0.35">
      <c r="A914" s="519"/>
      <c r="B914" s="519"/>
      <c r="C914" s="519"/>
      <c r="D914" s="519"/>
      <c r="E914" s="522"/>
      <c r="F914" s="522"/>
      <c r="G914" s="522"/>
      <c r="H914" s="522"/>
      <c r="I914" s="522"/>
      <c r="J914" s="522"/>
      <c r="K914" s="523"/>
      <c r="L914" s="524"/>
      <c r="M914" s="524"/>
      <c r="N914" s="524"/>
      <c r="O914" s="525"/>
      <c r="P914" s="525"/>
    </row>
    <row r="915" spans="1:16" ht="21.75" customHeight="1" x14ac:dyDescent="0.35">
      <c r="A915" s="519"/>
      <c r="B915" s="519"/>
      <c r="C915" s="519"/>
      <c r="D915" s="519"/>
      <c r="E915" s="522"/>
      <c r="F915" s="522"/>
      <c r="G915" s="522"/>
      <c r="H915" s="522"/>
      <c r="I915" s="522"/>
      <c r="J915" s="522"/>
      <c r="K915" s="523"/>
      <c r="L915" s="524"/>
      <c r="M915" s="524"/>
      <c r="N915" s="524"/>
      <c r="O915" s="525"/>
      <c r="P915" s="525"/>
    </row>
    <row r="916" spans="1:16" ht="21.75" customHeight="1" x14ac:dyDescent="0.35">
      <c r="A916" s="519"/>
      <c r="B916" s="519"/>
      <c r="C916" s="519"/>
      <c r="D916" s="519"/>
      <c r="E916" s="522"/>
      <c r="F916" s="522"/>
      <c r="G916" s="522"/>
      <c r="H916" s="522"/>
      <c r="I916" s="522"/>
      <c r="J916" s="522"/>
      <c r="K916" s="523"/>
      <c r="L916" s="524"/>
      <c r="M916" s="524"/>
      <c r="N916" s="524"/>
      <c r="O916" s="525"/>
      <c r="P916" s="525"/>
    </row>
    <row r="917" spans="1:16" ht="21.75" customHeight="1" x14ac:dyDescent="0.35">
      <c r="A917" s="519"/>
      <c r="B917" s="519"/>
      <c r="C917" s="519"/>
      <c r="D917" s="519"/>
      <c r="E917" s="522"/>
      <c r="F917" s="522"/>
      <c r="G917" s="522"/>
      <c r="H917" s="522"/>
      <c r="I917" s="522"/>
      <c r="J917" s="522"/>
      <c r="K917" s="523"/>
      <c r="L917" s="524"/>
      <c r="M917" s="524"/>
      <c r="N917" s="524"/>
      <c r="O917" s="525"/>
      <c r="P917" s="525"/>
    </row>
    <row r="918" spans="1:16" ht="21.75" customHeight="1" x14ac:dyDescent="0.35">
      <c r="A918" s="519"/>
      <c r="B918" s="519"/>
      <c r="C918" s="519"/>
      <c r="D918" s="519"/>
      <c r="E918" s="522"/>
      <c r="F918" s="522"/>
      <c r="G918" s="522"/>
      <c r="H918" s="522"/>
      <c r="I918" s="522"/>
      <c r="J918" s="522"/>
      <c r="K918" s="523"/>
      <c r="L918" s="524"/>
      <c r="M918" s="524"/>
      <c r="N918" s="524"/>
      <c r="O918" s="525"/>
      <c r="P918" s="525"/>
    </row>
    <row r="919" spans="1:16" ht="21.75" customHeight="1" x14ac:dyDescent="0.35">
      <c r="A919" s="519"/>
      <c r="B919" s="519"/>
      <c r="C919" s="519"/>
      <c r="D919" s="519"/>
      <c r="E919" s="522"/>
      <c r="F919" s="522"/>
      <c r="G919" s="522"/>
      <c r="H919" s="522"/>
      <c r="I919" s="522"/>
      <c r="J919" s="522"/>
      <c r="K919" s="523"/>
      <c r="L919" s="524"/>
      <c r="M919" s="524"/>
      <c r="N919" s="524"/>
      <c r="O919" s="525"/>
      <c r="P919" s="525"/>
    </row>
    <row r="920" spans="1:16" ht="21.75" customHeight="1" x14ac:dyDescent="0.35">
      <c r="A920" s="519"/>
      <c r="B920" s="519"/>
      <c r="C920" s="519"/>
      <c r="D920" s="519"/>
      <c r="E920" s="522"/>
      <c r="F920" s="522"/>
      <c r="G920" s="522"/>
      <c r="H920" s="522"/>
      <c r="I920" s="522"/>
      <c r="J920" s="522"/>
      <c r="K920" s="523"/>
      <c r="L920" s="524"/>
      <c r="M920" s="524"/>
      <c r="N920" s="524"/>
      <c r="O920" s="525"/>
      <c r="P920" s="525"/>
    </row>
    <row r="921" spans="1:16" ht="21.75" customHeight="1" x14ac:dyDescent="0.35">
      <c r="A921" s="519"/>
      <c r="B921" s="519"/>
      <c r="C921" s="519"/>
      <c r="D921" s="519"/>
      <c r="E921" s="522"/>
      <c r="F921" s="522"/>
      <c r="G921" s="522"/>
      <c r="H921" s="522"/>
      <c r="I921" s="522"/>
      <c r="J921" s="522"/>
      <c r="K921" s="523"/>
      <c r="L921" s="524"/>
      <c r="M921" s="524"/>
      <c r="N921" s="524"/>
      <c r="O921" s="525"/>
      <c r="P921" s="525"/>
    </row>
    <row r="922" spans="1:16" ht="21.75" customHeight="1" x14ac:dyDescent="0.35">
      <c r="A922" s="519"/>
      <c r="B922" s="519"/>
      <c r="C922" s="519"/>
      <c r="D922" s="519"/>
      <c r="E922" s="522"/>
      <c r="F922" s="522"/>
      <c r="G922" s="522"/>
      <c r="H922" s="522"/>
      <c r="I922" s="522"/>
      <c r="J922" s="522"/>
      <c r="K922" s="523"/>
      <c r="L922" s="524"/>
      <c r="M922" s="524"/>
      <c r="N922" s="524"/>
      <c r="O922" s="525"/>
      <c r="P922" s="525"/>
    </row>
    <row r="923" spans="1:16" ht="21.75" customHeight="1" x14ac:dyDescent="0.35">
      <c r="A923" s="519"/>
      <c r="B923" s="519"/>
      <c r="C923" s="519"/>
      <c r="D923" s="519"/>
      <c r="E923" s="522"/>
      <c r="F923" s="522"/>
      <c r="G923" s="522"/>
      <c r="H923" s="522"/>
      <c r="I923" s="522"/>
      <c r="J923" s="522"/>
      <c r="K923" s="523"/>
      <c r="L923" s="524"/>
      <c r="M923" s="524"/>
      <c r="N923" s="524"/>
      <c r="O923" s="525"/>
      <c r="P923" s="525"/>
    </row>
    <row r="924" spans="1:16" ht="21.75" customHeight="1" x14ac:dyDescent="0.35">
      <c r="A924" s="519"/>
      <c r="B924" s="519"/>
      <c r="C924" s="519"/>
      <c r="D924" s="519"/>
      <c r="E924" s="522"/>
      <c r="F924" s="522"/>
      <c r="G924" s="522"/>
      <c r="H924" s="522"/>
      <c r="I924" s="522"/>
      <c r="J924" s="522"/>
      <c r="K924" s="523"/>
      <c r="L924" s="524"/>
      <c r="M924" s="524"/>
      <c r="N924" s="524"/>
      <c r="O924" s="525"/>
      <c r="P924" s="525"/>
    </row>
    <row r="925" spans="1:16" ht="21.75" customHeight="1" x14ac:dyDescent="0.35">
      <c r="A925" s="519"/>
      <c r="B925" s="519"/>
      <c r="C925" s="519"/>
      <c r="D925" s="519"/>
      <c r="E925" s="522"/>
      <c r="F925" s="522"/>
      <c r="G925" s="522"/>
      <c r="H925" s="522"/>
      <c r="I925" s="522"/>
      <c r="J925" s="522"/>
      <c r="K925" s="523"/>
      <c r="L925" s="524"/>
      <c r="M925" s="524"/>
      <c r="N925" s="524"/>
      <c r="O925" s="525"/>
      <c r="P925" s="525"/>
    </row>
    <row r="926" spans="1:16" ht="21.75" customHeight="1" x14ac:dyDescent="0.35">
      <c r="A926" s="519"/>
      <c r="B926" s="519"/>
      <c r="C926" s="519"/>
      <c r="D926" s="519"/>
      <c r="E926" s="522"/>
      <c r="F926" s="522"/>
      <c r="G926" s="522"/>
      <c r="H926" s="522"/>
      <c r="I926" s="522"/>
      <c r="J926" s="522"/>
      <c r="K926" s="523"/>
      <c r="L926" s="524"/>
      <c r="M926" s="524"/>
      <c r="N926" s="524"/>
      <c r="O926" s="525"/>
      <c r="P926" s="525"/>
    </row>
    <row r="927" spans="1:16" ht="21.75" customHeight="1" x14ac:dyDescent="0.35">
      <c r="A927" s="519"/>
      <c r="B927" s="519"/>
      <c r="C927" s="519"/>
      <c r="D927" s="519"/>
      <c r="E927" s="522"/>
      <c r="F927" s="522"/>
      <c r="G927" s="522"/>
      <c r="H927" s="522"/>
      <c r="I927" s="522"/>
      <c r="J927" s="522"/>
      <c r="K927" s="523"/>
      <c r="L927" s="524"/>
      <c r="M927" s="524"/>
      <c r="N927" s="524"/>
      <c r="O927" s="525"/>
      <c r="P927" s="525"/>
    </row>
    <row r="928" spans="1:16" ht="21.75" customHeight="1" x14ac:dyDescent="0.35">
      <c r="A928" s="519"/>
      <c r="B928" s="519"/>
      <c r="C928" s="519"/>
      <c r="D928" s="519"/>
      <c r="E928" s="522"/>
      <c r="F928" s="522"/>
      <c r="G928" s="522"/>
      <c r="H928" s="522"/>
      <c r="I928" s="522"/>
      <c r="J928" s="522"/>
      <c r="K928" s="523"/>
      <c r="L928" s="524"/>
      <c r="M928" s="524"/>
      <c r="N928" s="524"/>
      <c r="O928" s="525"/>
      <c r="P928" s="525"/>
    </row>
    <row r="929" spans="1:16" ht="21.75" customHeight="1" x14ac:dyDescent="0.35">
      <c r="A929" s="519"/>
      <c r="B929" s="519"/>
      <c r="C929" s="519"/>
      <c r="D929" s="519"/>
      <c r="E929" s="522"/>
      <c r="F929" s="522"/>
      <c r="G929" s="522"/>
      <c r="H929" s="522"/>
      <c r="I929" s="522"/>
      <c r="J929" s="522"/>
      <c r="K929" s="523"/>
      <c r="L929" s="524"/>
      <c r="M929" s="524"/>
      <c r="N929" s="524"/>
      <c r="O929" s="525"/>
      <c r="P929" s="525"/>
    </row>
    <row r="930" spans="1:16" ht="21.75" customHeight="1" x14ac:dyDescent="0.35">
      <c r="A930" s="519"/>
      <c r="B930" s="519"/>
      <c r="C930" s="519"/>
      <c r="D930" s="519"/>
      <c r="E930" s="522"/>
      <c r="F930" s="522"/>
      <c r="G930" s="522"/>
      <c r="H930" s="522"/>
      <c r="I930" s="522"/>
      <c r="J930" s="522"/>
      <c r="K930" s="523"/>
      <c r="L930" s="524"/>
      <c r="M930" s="524"/>
      <c r="N930" s="524"/>
      <c r="O930" s="525"/>
      <c r="P930" s="525"/>
    </row>
    <row r="931" spans="1:16" ht="21.75" customHeight="1" x14ac:dyDescent="0.35">
      <c r="A931" s="519"/>
      <c r="B931" s="519"/>
      <c r="C931" s="519"/>
      <c r="D931" s="519"/>
      <c r="E931" s="522"/>
      <c r="F931" s="522"/>
      <c r="G931" s="522"/>
      <c r="H931" s="522"/>
      <c r="I931" s="522"/>
      <c r="J931" s="522"/>
      <c r="K931" s="523"/>
      <c r="L931" s="524"/>
      <c r="M931" s="524"/>
      <c r="N931" s="524"/>
      <c r="O931" s="525"/>
      <c r="P931" s="525"/>
    </row>
    <row r="932" spans="1:16" ht="21.75" customHeight="1" x14ac:dyDescent="0.35">
      <c r="A932" s="519"/>
      <c r="B932" s="519"/>
      <c r="C932" s="519"/>
      <c r="D932" s="519"/>
      <c r="E932" s="522"/>
      <c r="F932" s="522"/>
      <c r="G932" s="522"/>
      <c r="H932" s="522"/>
      <c r="I932" s="522"/>
      <c r="J932" s="522"/>
      <c r="K932" s="523"/>
      <c r="L932" s="524"/>
      <c r="M932" s="524"/>
      <c r="N932" s="524"/>
      <c r="O932" s="525"/>
      <c r="P932" s="525"/>
    </row>
    <row r="933" spans="1:16" ht="21.75" customHeight="1" x14ac:dyDescent="0.35">
      <c r="A933" s="519"/>
      <c r="B933" s="519"/>
      <c r="C933" s="519"/>
      <c r="D933" s="519"/>
      <c r="E933" s="522"/>
      <c r="F933" s="522"/>
      <c r="G933" s="522"/>
      <c r="H933" s="522"/>
      <c r="I933" s="522"/>
      <c r="J933" s="522"/>
      <c r="K933" s="523"/>
      <c r="L933" s="524"/>
      <c r="M933" s="524"/>
      <c r="N933" s="524"/>
      <c r="O933" s="525"/>
      <c r="P933" s="525"/>
    </row>
    <row r="934" spans="1:16" ht="21.75" customHeight="1" x14ac:dyDescent="0.35">
      <c r="A934" s="519"/>
      <c r="B934" s="519"/>
      <c r="C934" s="519"/>
      <c r="D934" s="519"/>
      <c r="E934" s="522"/>
      <c r="F934" s="522"/>
      <c r="G934" s="522"/>
      <c r="H934" s="522"/>
      <c r="I934" s="522"/>
      <c r="J934" s="522"/>
      <c r="K934" s="523"/>
      <c r="L934" s="524"/>
      <c r="M934" s="524"/>
      <c r="N934" s="524"/>
      <c r="O934" s="525"/>
      <c r="P934" s="525"/>
    </row>
    <row r="935" spans="1:16" ht="21.75" customHeight="1" x14ac:dyDescent="0.35">
      <c r="A935" s="519"/>
      <c r="B935" s="519"/>
      <c r="C935" s="519"/>
      <c r="D935" s="519"/>
      <c r="E935" s="522"/>
      <c r="F935" s="522"/>
      <c r="G935" s="522"/>
      <c r="H935" s="522"/>
      <c r="I935" s="522"/>
      <c r="J935" s="522"/>
      <c r="K935" s="523"/>
      <c r="L935" s="524"/>
      <c r="M935" s="524"/>
      <c r="N935" s="524"/>
      <c r="O935" s="525"/>
      <c r="P935" s="525"/>
    </row>
    <row r="936" spans="1:16" ht="21.75" customHeight="1" x14ac:dyDescent="0.35">
      <c r="A936" s="519"/>
      <c r="B936" s="519"/>
      <c r="C936" s="519"/>
      <c r="D936" s="519"/>
      <c r="E936" s="522"/>
      <c r="F936" s="522"/>
      <c r="G936" s="522"/>
      <c r="H936" s="522"/>
      <c r="I936" s="522"/>
      <c r="J936" s="522"/>
      <c r="K936" s="523"/>
      <c r="L936" s="524"/>
      <c r="M936" s="524"/>
      <c r="N936" s="524"/>
      <c r="O936" s="525"/>
      <c r="P936" s="525"/>
    </row>
    <row r="937" spans="1:16" ht="21.75" customHeight="1" x14ac:dyDescent="0.35">
      <c r="A937" s="519"/>
      <c r="B937" s="519"/>
      <c r="C937" s="519"/>
      <c r="D937" s="519"/>
      <c r="E937" s="522"/>
      <c r="F937" s="522"/>
      <c r="G937" s="522"/>
      <c r="H937" s="522"/>
      <c r="I937" s="522"/>
      <c r="J937" s="522"/>
      <c r="K937" s="523"/>
      <c r="L937" s="524"/>
      <c r="M937" s="524"/>
      <c r="N937" s="524"/>
      <c r="O937" s="525"/>
      <c r="P937" s="525"/>
    </row>
    <row r="938" spans="1:16" ht="21.75" customHeight="1" x14ac:dyDescent="0.35">
      <c r="A938" s="519"/>
      <c r="B938" s="519"/>
      <c r="C938" s="519"/>
      <c r="D938" s="519"/>
      <c r="E938" s="522"/>
      <c r="F938" s="522"/>
      <c r="G938" s="522"/>
      <c r="H938" s="522"/>
      <c r="I938" s="522"/>
      <c r="J938" s="522"/>
      <c r="K938" s="523"/>
      <c r="L938" s="524"/>
      <c r="M938" s="524"/>
      <c r="N938" s="524"/>
      <c r="O938" s="525"/>
      <c r="P938" s="525"/>
    </row>
    <row r="939" spans="1:16" ht="21.75" customHeight="1" x14ac:dyDescent="0.35">
      <c r="A939" s="519"/>
      <c r="B939" s="519"/>
      <c r="C939" s="519"/>
      <c r="D939" s="519"/>
      <c r="E939" s="522"/>
      <c r="F939" s="522"/>
      <c r="G939" s="522"/>
      <c r="H939" s="522"/>
      <c r="I939" s="522"/>
      <c r="J939" s="522"/>
      <c r="K939" s="523"/>
      <c r="L939" s="524"/>
      <c r="M939" s="524"/>
      <c r="N939" s="524"/>
      <c r="O939" s="525"/>
      <c r="P939" s="525"/>
    </row>
    <row r="940" spans="1:16" ht="21.75" customHeight="1" x14ac:dyDescent="0.35">
      <c r="A940" s="519"/>
      <c r="B940" s="519"/>
      <c r="C940" s="519"/>
      <c r="D940" s="519"/>
      <c r="E940" s="522"/>
      <c r="F940" s="522"/>
      <c r="G940" s="522"/>
      <c r="H940" s="522"/>
      <c r="I940" s="522"/>
      <c r="J940" s="522"/>
      <c r="K940" s="523"/>
      <c r="L940" s="524"/>
      <c r="M940" s="524"/>
      <c r="N940" s="524"/>
      <c r="O940" s="525"/>
      <c r="P940" s="525"/>
    </row>
    <row r="941" spans="1:16" ht="21.75" customHeight="1" x14ac:dyDescent="0.35">
      <c r="A941" s="519"/>
      <c r="B941" s="519"/>
      <c r="C941" s="519"/>
      <c r="D941" s="519"/>
      <c r="E941" s="522"/>
      <c r="F941" s="522"/>
      <c r="G941" s="522"/>
      <c r="H941" s="522"/>
      <c r="I941" s="522"/>
      <c r="J941" s="522"/>
      <c r="K941" s="523"/>
      <c r="L941" s="524"/>
      <c r="M941" s="524"/>
      <c r="N941" s="524"/>
      <c r="O941" s="525"/>
      <c r="P941" s="525"/>
    </row>
    <row r="942" spans="1:16" ht="21.75" customHeight="1" x14ac:dyDescent="0.35">
      <c r="A942" s="519"/>
      <c r="B942" s="519"/>
      <c r="C942" s="519"/>
      <c r="D942" s="519"/>
      <c r="E942" s="522"/>
      <c r="F942" s="522"/>
      <c r="G942" s="522"/>
      <c r="H942" s="522"/>
      <c r="I942" s="522"/>
      <c r="J942" s="522"/>
      <c r="K942" s="523"/>
      <c r="L942" s="524"/>
      <c r="M942" s="524"/>
      <c r="N942" s="524"/>
      <c r="O942" s="525"/>
      <c r="P942" s="525"/>
    </row>
    <row r="943" spans="1:16" ht="21.75" customHeight="1" x14ac:dyDescent="0.35">
      <c r="A943" s="519"/>
      <c r="B943" s="519"/>
      <c r="C943" s="519"/>
      <c r="D943" s="519"/>
      <c r="E943" s="522"/>
      <c r="F943" s="522"/>
      <c r="G943" s="522"/>
      <c r="H943" s="522"/>
      <c r="I943" s="522"/>
      <c r="J943" s="522"/>
      <c r="K943" s="523"/>
      <c r="L943" s="524"/>
      <c r="M943" s="524"/>
      <c r="N943" s="524"/>
      <c r="O943" s="525"/>
      <c r="P943" s="525"/>
    </row>
    <row r="944" spans="1:16" ht="21.75" customHeight="1" x14ac:dyDescent="0.35">
      <c r="A944" s="519"/>
      <c r="B944" s="519"/>
      <c r="C944" s="519"/>
      <c r="D944" s="519"/>
      <c r="E944" s="522"/>
      <c r="F944" s="522"/>
      <c r="G944" s="522"/>
      <c r="H944" s="522"/>
      <c r="I944" s="522"/>
      <c r="J944" s="522"/>
      <c r="K944" s="523"/>
      <c r="L944" s="524"/>
      <c r="M944" s="524"/>
      <c r="N944" s="524"/>
      <c r="O944" s="525"/>
      <c r="P944" s="525"/>
    </row>
    <row r="945" spans="1:16" ht="21.75" customHeight="1" x14ac:dyDescent="0.35">
      <c r="A945" s="519"/>
      <c r="B945" s="519"/>
      <c r="C945" s="519"/>
      <c r="D945" s="519"/>
      <c r="E945" s="522"/>
      <c r="F945" s="522"/>
      <c r="G945" s="522"/>
      <c r="H945" s="522"/>
      <c r="I945" s="522"/>
      <c r="J945" s="522"/>
      <c r="K945" s="523"/>
      <c r="L945" s="524"/>
      <c r="M945" s="524"/>
      <c r="N945" s="524"/>
      <c r="O945" s="525"/>
      <c r="P945" s="525"/>
    </row>
    <row r="946" spans="1:16" ht="21.75" customHeight="1" x14ac:dyDescent="0.35">
      <c r="A946" s="519"/>
      <c r="B946" s="519"/>
      <c r="C946" s="519"/>
      <c r="D946" s="519"/>
      <c r="E946" s="522"/>
      <c r="F946" s="522"/>
      <c r="G946" s="522"/>
      <c r="H946" s="522"/>
      <c r="I946" s="522"/>
      <c r="J946" s="522"/>
      <c r="K946" s="523"/>
      <c r="L946" s="524"/>
      <c r="M946" s="524"/>
      <c r="N946" s="524"/>
      <c r="O946" s="525"/>
      <c r="P946" s="525"/>
    </row>
    <row r="947" spans="1:16" ht="21.75" customHeight="1" x14ac:dyDescent="0.35">
      <c r="A947" s="519"/>
      <c r="B947" s="519"/>
      <c r="C947" s="519"/>
      <c r="D947" s="519"/>
      <c r="E947" s="522"/>
      <c r="F947" s="522"/>
      <c r="G947" s="522"/>
      <c r="H947" s="522"/>
      <c r="I947" s="522"/>
      <c r="J947" s="522"/>
      <c r="K947" s="523"/>
      <c r="L947" s="524"/>
      <c r="M947" s="524"/>
      <c r="N947" s="524"/>
      <c r="O947" s="525"/>
      <c r="P947" s="525"/>
    </row>
    <row r="948" spans="1:16" ht="21.75" customHeight="1" x14ac:dyDescent="0.35">
      <c r="A948" s="519"/>
      <c r="B948" s="519"/>
      <c r="C948" s="519"/>
      <c r="D948" s="519"/>
      <c r="E948" s="522"/>
      <c r="F948" s="522"/>
      <c r="G948" s="522"/>
      <c r="H948" s="522"/>
      <c r="I948" s="522"/>
      <c r="J948" s="522"/>
      <c r="K948" s="523"/>
      <c r="L948" s="524"/>
      <c r="M948" s="524"/>
      <c r="N948" s="524"/>
      <c r="O948" s="525"/>
      <c r="P948" s="525"/>
    </row>
    <row r="949" spans="1:16" ht="21.75" customHeight="1" x14ac:dyDescent="0.35">
      <c r="A949" s="519"/>
      <c r="B949" s="519"/>
      <c r="C949" s="519"/>
      <c r="D949" s="519"/>
      <c r="E949" s="522"/>
      <c r="F949" s="522"/>
      <c r="G949" s="522"/>
      <c r="H949" s="522"/>
      <c r="I949" s="522"/>
      <c r="J949" s="522"/>
      <c r="K949" s="523"/>
      <c r="L949" s="524"/>
      <c r="M949" s="524"/>
      <c r="N949" s="524"/>
      <c r="O949" s="525"/>
      <c r="P949" s="525"/>
    </row>
    <row r="950" spans="1:16" ht="21.75" customHeight="1" x14ac:dyDescent="0.35">
      <c r="A950" s="519"/>
      <c r="B950" s="519"/>
      <c r="C950" s="519"/>
      <c r="D950" s="519"/>
      <c r="E950" s="522"/>
      <c r="F950" s="522"/>
      <c r="G950" s="522"/>
      <c r="H950" s="522"/>
      <c r="I950" s="522"/>
      <c r="J950" s="522"/>
      <c r="K950" s="523"/>
      <c r="L950" s="524"/>
      <c r="M950" s="524"/>
      <c r="N950" s="524"/>
      <c r="O950" s="525"/>
      <c r="P950" s="525"/>
    </row>
    <row r="951" spans="1:16" ht="21.75" customHeight="1" x14ac:dyDescent="0.35">
      <c r="A951" s="519"/>
      <c r="B951" s="519"/>
      <c r="C951" s="519"/>
      <c r="D951" s="519"/>
      <c r="E951" s="522"/>
      <c r="F951" s="522"/>
      <c r="G951" s="522"/>
      <c r="H951" s="522"/>
      <c r="I951" s="522"/>
      <c r="J951" s="522"/>
      <c r="K951" s="523"/>
      <c r="L951" s="524"/>
      <c r="M951" s="524"/>
      <c r="N951" s="524"/>
      <c r="O951" s="525"/>
      <c r="P951" s="525"/>
    </row>
    <row r="952" spans="1:16" ht="21.75" customHeight="1" x14ac:dyDescent="0.35">
      <c r="A952" s="519"/>
      <c r="B952" s="519"/>
      <c r="C952" s="519"/>
      <c r="D952" s="519"/>
      <c r="E952" s="522"/>
      <c r="F952" s="522"/>
      <c r="G952" s="522"/>
      <c r="H952" s="522"/>
      <c r="I952" s="522"/>
      <c r="J952" s="522"/>
      <c r="K952" s="523"/>
      <c r="L952" s="524"/>
      <c r="M952" s="524"/>
      <c r="N952" s="524"/>
      <c r="O952" s="525"/>
      <c r="P952" s="525"/>
    </row>
    <row r="953" spans="1:16" ht="21.75" customHeight="1" x14ac:dyDescent="0.35">
      <c r="A953" s="519"/>
      <c r="B953" s="519"/>
      <c r="C953" s="519"/>
      <c r="D953" s="519"/>
      <c r="E953" s="522"/>
      <c r="F953" s="522"/>
      <c r="G953" s="522"/>
      <c r="H953" s="522"/>
      <c r="I953" s="522"/>
      <c r="J953" s="522"/>
      <c r="K953" s="523"/>
      <c r="L953" s="524"/>
      <c r="M953" s="524"/>
      <c r="N953" s="524"/>
      <c r="O953" s="525"/>
      <c r="P953" s="525"/>
    </row>
    <row r="954" spans="1:16" ht="21.75" customHeight="1" x14ac:dyDescent="0.35">
      <c r="A954" s="519"/>
      <c r="B954" s="519"/>
      <c r="C954" s="519"/>
      <c r="D954" s="519"/>
      <c r="E954" s="522"/>
      <c r="F954" s="522"/>
      <c r="G954" s="522"/>
      <c r="H954" s="522"/>
      <c r="I954" s="522"/>
      <c r="J954" s="522"/>
      <c r="K954" s="523"/>
      <c r="L954" s="524"/>
      <c r="M954" s="524"/>
      <c r="N954" s="524"/>
      <c r="O954" s="525"/>
      <c r="P954" s="525"/>
    </row>
    <row r="955" spans="1:16" ht="21.75" customHeight="1" x14ac:dyDescent="0.35">
      <c r="A955" s="519"/>
      <c r="B955" s="519"/>
      <c r="C955" s="519"/>
      <c r="D955" s="519"/>
      <c r="E955" s="522"/>
      <c r="F955" s="522"/>
      <c r="G955" s="522"/>
      <c r="H955" s="522"/>
      <c r="I955" s="522"/>
      <c r="J955" s="522"/>
      <c r="K955" s="523"/>
      <c r="L955" s="524"/>
      <c r="M955" s="524"/>
      <c r="N955" s="524"/>
      <c r="O955" s="525"/>
      <c r="P955" s="525"/>
    </row>
    <row r="956" spans="1:16" ht="21.75" customHeight="1" x14ac:dyDescent="0.35">
      <c r="A956" s="519"/>
      <c r="B956" s="519"/>
      <c r="C956" s="519"/>
      <c r="D956" s="519"/>
      <c r="E956" s="522"/>
      <c r="F956" s="522"/>
      <c r="G956" s="522"/>
      <c r="H956" s="522"/>
      <c r="I956" s="522"/>
      <c r="J956" s="522"/>
      <c r="K956" s="523"/>
      <c r="L956" s="524"/>
      <c r="M956" s="524"/>
      <c r="N956" s="524"/>
      <c r="O956" s="525"/>
      <c r="P956" s="525"/>
    </row>
    <row r="957" spans="1:16" ht="21.75" customHeight="1" x14ac:dyDescent="0.35">
      <c r="A957" s="519"/>
      <c r="B957" s="519"/>
      <c r="C957" s="519"/>
      <c r="D957" s="519"/>
      <c r="E957" s="522"/>
      <c r="F957" s="522"/>
      <c r="G957" s="522"/>
      <c r="H957" s="522"/>
      <c r="I957" s="522"/>
      <c r="J957" s="522"/>
      <c r="K957" s="523"/>
      <c r="L957" s="524"/>
      <c r="M957" s="524"/>
      <c r="N957" s="524"/>
      <c r="O957" s="525"/>
      <c r="P957" s="525"/>
    </row>
    <row r="958" spans="1:16" ht="21.75" customHeight="1" x14ac:dyDescent="0.35">
      <c r="A958" s="519"/>
      <c r="B958" s="519"/>
      <c r="C958" s="519"/>
      <c r="D958" s="519"/>
      <c r="E958" s="522"/>
      <c r="F958" s="522"/>
      <c r="G958" s="522"/>
      <c r="H958" s="522"/>
      <c r="I958" s="522"/>
      <c r="J958" s="522"/>
      <c r="K958" s="523"/>
      <c r="L958" s="524"/>
      <c r="M958" s="524"/>
      <c r="N958" s="524"/>
      <c r="O958" s="525"/>
      <c r="P958" s="525"/>
    </row>
    <row r="959" spans="1:16" ht="21.75" customHeight="1" x14ac:dyDescent="0.35">
      <c r="A959" s="519"/>
      <c r="B959" s="519"/>
      <c r="C959" s="519"/>
      <c r="D959" s="519"/>
      <c r="E959" s="522"/>
      <c r="F959" s="522"/>
      <c r="G959" s="522"/>
      <c r="H959" s="522"/>
      <c r="I959" s="522"/>
      <c r="J959" s="522"/>
      <c r="K959" s="523"/>
      <c r="L959" s="524"/>
      <c r="M959" s="524"/>
      <c r="N959" s="524"/>
      <c r="O959" s="525"/>
      <c r="P959" s="525"/>
    </row>
    <row r="960" spans="1:16" ht="21.75" customHeight="1" x14ac:dyDescent="0.35">
      <c r="A960" s="519"/>
      <c r="B960" s="519"/>
      <c r="C960" s="519"/>
      <c r="D960" s="519"/>
      <c r="E960" s="522"/>
      <c r="F960" s="522"/>
      <c r="G960" s="522"/>
      <c r="H960" s="522"/>
      <c r="I960" s="522"/>
      <c r="J960" s="522"/>
      <c r="K960" s="523"/>
      <c r="L960" s="524"/>
      <c r="M960" s="524"/>
      <c r="N960" s="524"/>
      <c r="O960" s="525"/>
      <c r="P960" s="525"/>
    </row>
    <row r="961" spans="1:16" ht="21.75" customHeight="1" x14ac:dyDescent="0.35">
      <c r="A961" s="519"/>
      <c r="B961" s="519"/>
      <c r="C961" s="519"/>
      <c r="D961" s="519"/>
      <c r="E961" s="522"/>
      <c r="F961" s="522"/>
      <c r="G961" s="522"/>
      <c r="H961" s="522"/>
      <c r="I961" s="522"/>
      <c r="J961" s="522"/>
      <c r="K961" s="523"/>
      <c r="L961" s="524"/>
      <c r="M961" s="524"/>
      <c r="N961" s="524"/>
      <c r="O961" s="525"/>
      <c r="P961" s="525"/>
    </row>
    <row r="962" spans="1:16" ht="21.75" customHeight="1" x14ac:dyDescent="0.35">
      <c r="A962" s="519"/>
      <c r="B962" s="519"/>
      <c r="C962" s="519"/>
      <c r="D962" s="519"/>
      <c r="E962" s="522"/>
      <c r="F962" s="522"/>
      <c r="G962" s="522"/>
      <c r="H962" s="522"/>
      <c r="I962" s="522"/>
      <c r="J962" s="522"/>
      <c r="K962" s="523"/>
      <c r="L962" s="524"/>
      <c r="M962" s="524"/>
      <c r="N962" s="524"/>
      <c r="O962" s="525"/>
      <c r="P962" s="525"/>
    </row>
    <row r="963" spans="1:16" ht="21.75" customHeight="1" x14ac:dyDescent="0.35">
      <c r="A963" s="519"/>
      <c r="B963" s="519"/>
      <c r="C963" s="519"/>
      <c r="D963" s="519"/>
      <c r="E963" s="522"/>
      <c r="F963" s="522"/>
      <c r="G963" s="522"/>
      <c r="H963" s="522"/>
      <c r="I963" s="522"/>
      <c r="J963" s="522"/>
      <c r="K963" s="523"/>
      <c r="L963" s="524"/>
      <c r="M963" s="524"/>
      <c r="N963" s="524"/>
      <c r="O963" s="525"/>
      <c r="P963" s="525"/>
    </row>
    <row r="964" spans="1:16" ht="21.75" customHeight="1" x14ac:dyDescent="0.35">
      <c r="A964" s="519"/>
      <c r="B964" s="519"/>
      <c r="C964" s="519"/>
      <c r="D964" s="519"/>
      <c r="E964" s="522"/>
      <c r="F964" s="522"/>
      <c r="G964" s="522"/>
      <c r="H964" s="522"/>
      <c r="I964" s="522"/>
      <c r="J964" s="522"/>
      <c r="K964" s="523"/>
      <c r="L964" s="524"/>
      <c r="M964" s="524"/>
      <c r="N964" s="524"/>
      <c r="O964" s="525"/>
      <c r="P964" s="525"/>
    </row>
    <row r="965" spans="1:16" ht="21.75" customHeight="1" x14ac:dyDescent="0.35">
      <c r="A965" s="519"/>
      <c r="B965" s="519"/>
      <c r="C965" s="519"/>
      <c r="D965" s="519"/>
      <c r="E965" s="522"/>
      <c r="F965" s="522"/>
      <c r="G965" s="522"/>
      <c r="H965" s="522"/>
      <c r="I965" s="522"/>
      <c r="J965" s="522"/>
      <c r="K965" s="523"/>
      <c r="L965" s="524"/>
      <c r="M965" s="524"/>
      <c r="N965" s="524"/>
      <c r="O965" s="525"/>
      <c r="P965" s="525"/>
    </row>
    <row r="966" spans="1:16" ht="21.75" customHeight="1" x14ac:dyDescent="0.35">
      <c r="A966" s="519"/>
      <c r="B966" s="519"/>
      <c r="C966" s="519"/>
      <c r="D966" s="519"/>
      <c r="E966" s="522"/>
      <c r="F966" s="522"/>
      <c r="G966" s="522"/>
      <c r="H966" s="522"/>
      <c r="I966" s="522"/>
      <c r="J966" s="522"/>
      <c r="K966" s="523"/>
      <c r="L966" s="524"/>
      <c r="M966" s="524"/>
      <c r="N966" s="524"/>
      <c r="O966" s="525"/>
      <c r="P966" s="525"/>
    </row>
    <row r="967" spans="1:16" ht="21.75" customHeight="1" x14ac:dyDescent="0.35">
      <c r="A967" s="519"/>
      <c r="B967" s="519"/>
      <c r="C967" s="519"/>
      <c r="D967" s="519"/>
      <c r="E967" s="522"/>
      <c r="F967" s="522"/>
      <c r="G967" s="522"/>
      <c r="H967" s="522"/>
      <c r="I967" s="522"/>
      <c r="J967" s="522"/>
      <c r="K967" s="523"/>
      <c r="L967" s="524"/>
      <c r="M967" s="524"/>
      <c r="N967" s="524"/>
      <c r="O967" s="525"/>
      <c r="P967" s="525"/>
    </row>
    <row r="968" spans="1:16" ht="21.75" customHeight="1" x14ac:dyDescent="0.35">
      <c r="A968" s="519"/>
      <c r="B968" s="519"/>
      <c r="C968" s="519"/>
      <c r="D968" s="519"/>
      <c r="E968" s="522"/>
      <c r="F968" s="522"/>
      <c r="G968" s="522"/>
      <c r="H968" s="522"/>
      <c r="I968" s="522"/>
      <c r="J968" s="522"/>
      <c r="K968" s="523"/>
      <c r="L968" s="524"/>
      <c r="M968" s="524"/>
      <c r="N968" s="524"/>
      <c r="O968" s="525"/>
      <c r="P968" s="525"/>
    </row>
    <row r="969" spans="1:16" ht="21.75" customHeight="1" x14ac:dyDescent="0.35">
      <c r="A969" s="519"/>
      <c r="B969" s="519"/>
      <c r="C969" s="519"/>
      <c r="D969" s="519"/>
      <c r="E969" s="522"/>
      <c r="F969" s="522"/>
      <c r="G969" s="522"/>
      <c r="H969" s="522"/>
      <c r="I969" s="522"/>
      <c r="J969" s="522"/>
      <c r="K969" s="523"/>
      <c r="L969" s="524"/>
      <c r="M969" s="524"/>
      <c r="N969" s="524"/>
      <c r="O969" s="525"/>
      <c r="P969" s="525"/>
    </row>
    <row r="970" spans="1:16" ht="21.75" customHeight="1" x14ac:dyDescent="0.35">
      <c r="A970" s="519"/>
      <c r="B970" s="519"/>
      <c r="C970" s="519"/>
      <c r="D970" s="519"/>
      <c r="E970" s="522"/>
      <c r="F970" s="522"/>
      <c r="G970" s="522"/>
      <c r="H970" s="522"/>
      <c r="I970" s="522"/>
      <c r="J970" s="522"/>
      <c r="K970" s="523"/>
      <c r="L970" s="524"/>
      <c r="M970" s="524"/>
      <c r="N970" s="524"/>
      <c r="O970" s="525"/>
      <c r="P970" s="525"/>
    </row>
    <row r="971" spans="1:16" ht="21.75" customHeight="1" x14ac:dyDescent="0.35">
      <c r="A971" s="519"/>
      <c r="B971" s="519"/>
      <c r="C971" s="519"/>
      <c r="D971" s="519"/>
      <c r="E971" s="522"/>
      <c r="F971" s="522"/>
      <c r="G971" s="522"/>
      <c r="H971" s="522"/>
      <c r="I971" s="522"/>
      <c r="J971" s="522"/>
      <c r="K971" s="523"/>
      <c r="L971" s="524"/>
      <c r="M971" s="524"/>
      <c r="N971" s="524"/>
      <c r="O971" s="525"/>
      <c r="P971" s="525"/>
    </row>
    <row r="972" spans="1:16" ht="21.75" customHeight="1" x14ac:dyDescent="0.35">
      <c r="A972" s="519"/>
      <c r="B972" s="519"/>
      <c r="C972" s="519"/>
      <c r="D972" s="519"/>
      <c r="E972" s="522"/>
      <c r="F972" s="522"/>
      <c r="G972" s="522"/>
      <c r="H972" s="522"/>
      <c r="I972" s="522"/>
      <c r="J972" s="522"/>
      <c r="K972" s="523"/>
      <c r="L972" s="524"/>
      <c r="M972" s="524"/>
      <c r="N972" s="524"/>
      <c r="O972" s="525"/>
      <c r="P972" s="525"/>
    </row>
    <row r="973" spans="1:16" ht="21.75" customHeight="1" x14ac:dyDescent="0.35">
      <c r="A973" s="519"/>
      <c r="B973" s="519"/>
      <c r="C973" s="519"/>
      <c r="D973" s="519"/>
      <c r="E973" s="522"/>
      <c r="F973" s="522"/>
      <c r="G973" s="522"/>
      <c r="H973" s="522"/>
      <c r="I973" s="522"/>
      <c r="J973" s="522"/>
      <c r="K973" s="523"/>
      <c r="L973" s="524"/>
      <c r="M973" s="524"/>
      <c r="N973" s="524"/>
      <c r="O973" s="525"/>
      <c r="P973" s="525"/>
    </row>
    <row r="974" spans="1:16" ht="21.75" customHeight="1" x14ac:dyDescent="0.35">
      <c r="A974" s="519"/>
      <c r="B974" s="519"/>
      <c r="C974" s="519"/>
      <c r="D974" s="519"/>
      <c r="E974" s="522"/>
      <c r="F974" s="522"/>
      <c r="G974" s="522"/>
      <c r="H974" s="522"/>
      <c r="I974" s="522"/>
      <c r="J974" s="522"/>
      <c r="K974" s="523"/>
      <c r="L974" s="524"/>
      <c r="M974" s="524"/>
      <c r="N974" s="524"/>
      <c r="O974" s="525"/>
      <c r="P974" s="525"/>
    </row>
    <row r="975" spans="1:16" ht="21.75" customHeight="1" x14ac:dyDescent="0.35">
      <c r="A975" s="519"/>
      <c r="B975" s="519"/>
      <c r="C975" s="519"/>
      <c r="D975" s="519"/>
      <c r="E975" s="522"/>
      <c r="F975" s="522"/>
      <c r="G975" s="522"/>
      <c r="H975" s="522"/>
      <c r="I975" s="522"/>
      <c r="J975" s="522"/>
      <c r="K975" s="523"/>
      <c r="L975" s="524"/>
      <c r="M975" s="524"/>
      <c r="N975" s="524"/>
      <c r="O975" s="525"/>
      <c r="P975" s="525"/>
    </row>
    <row r="976" spans="1:16" ht="21.75" customHeight="1" x14ac:dyDescent="0.35">
      <c r="A976" s="519"/>
      <c r="B976" s="519"/>
      <c r="C976" s="519"/>
      <c r="D976" s="519"/>
      <c r="E976" s="522"/>
      <c r="F976" s="522"/>
      <c r="G976" s="522"/>
      <c r="H976" s="522"/>
      <c r="I976" s="522"/>
      <c r="J976" s="522"/>
      <c r="K976" s="523"/>
      <c r="L976" s="524"/>
      <c r="M976" s="524"/>
      <c r="N976" s="524"/>
      <c r="O976" s="525"/>
      <c r="P976" s="525"/>
    </row>
    <row r="977" spans="1:16" ht="21.75" customHeight="1" x14ac:dyDescent="0.35">
      <c r="A977" s="519"/>
      <c r="B977" s="519"/>
      <c r="C977" s="519"/>
      <c r="D977" s="519"/>
      <c r="E977" s="522"/>
      <c r="F977" s="522"/>
      <c r="G977" s="522"/>
      <c r="H977" s="522"/>
      <c r="I977" s="522"/>
      <c r="J977" s="522"/>
      <c r="K977" s="523"/>
      <c r="L977" s="524"/>
      <c r="M977" s="524"/>
      <c r="N977" s="524"/>
      <c r="O977" s="525"/>
      <c r="P977" s="525"/>
    </row>
    <row r="978" spans="1:16" ht="21.75" customHeight="1" x14ac:dyDescent="0.35">
      <c r="A978" s="519"/>
      <c r="B978" s="519"/>
      <c r="C978" s="519"/>
      <c r="D978" s="519"/>
      <c r="E978" s="522"/>
      <c r="F978" s="522"/>
      <c r="G978" s="522"/>
      <c r="H978" s="522"/>
      <c r="I978" s="522"/>
      <c r="J978" s="522"/>
      <c r="K978" s="523"/>
      <c r="L978" s="524"/>
      <c r="M978" s="524"/>
      <c r="N978" s="524"/>
      <c r="O978" s="525"/>
      <c r="P978" s="525"/>
    </row>
    <row r="979" spans="1:16" ht="21.75" customHeight="1" x14ac:dyDescent="0.35">
      <c r="A979" s="519"/>
      <c r="B979" s="519"/>
      <c r="C979" s="519"/>
      <c r="D979" s="519"/>
      <c r="E979" s="522"/>
      <c r="F979" s="522"/>
      <c r="G979" s="522"/>
      <c r="H979" s="522"/>
      <c r="I979" s="522"/>
      <c r="J979" s="522"/>
      <c r="K979" s="523"/>
      <c r="L979" s="524"/>
      <c r="M979" s="524"/>
      <c r="N979" s="524"/>
      <c r="O979" s="525"/>
      <c r="P979" s="525"/>
    </row>
    <row r="980" spans="1:16" ht="21.75" customHeight="1" x14ac:dyDescent="0.35">
      <c r="A980" s="519"/>
      <c r="B980" s="519"/>
      <c r="C980" s="519"/>
      <c r="D980" s="519"/>
      <c r="E980" s="522"/>
      <c r="F980" s="522"/>
      <c r="G980" s="522"/>
      <c r="H980" s="522"/>
      <c r="I980" s="522"/>
      <c r="J980" s="522"/>
      <c r="K980" s="523"/>
      <c r="L980" s="524"/>
      <c r="M980" s="524"/>
      <c r="N980" s="524"/>
      <c r="O980" s="525"/>
      <c r="P980" s="525"/>
    </row>
    <row r="981" spans="1:16" ht="21.75" customHeight="1" x14ac:dyDescent="0.35">
      <c r="A981" s="519"/>
      <c r="B981" s="519"/>
      <c r="C981" s="519"/>
      <c r="D981" s="519"/>
      <c r="E981" s="522"/>
      <c r="F981" s="522"/>
      <c r="G981" s="522"/>
      <c r="H981" s="522"/>
      <c r="I981" s="522"/>
      <c r="J981" s="522"/>
      <c r="K981" s="523"/>
      <c r="L981" s="524"/>
      <c r="M981" s="524"/>
      <c r="N981" s="524"/>
      <c r="O981" s="525"/>
      <c r="P981" s="525"/>
    </row>
    <row r="982" spans="1:16" ht="21.75" customHeight="1" x14ac:dyDescent="0.35">
      <c r="A982" s="519"/>
      <c r="B982" s="519"/>
      <c r="C982" s="519"/>
      <c r="D982" s="519"/>
      <c r="E982" s="522"/>
      <c r="F982" s="522"/>
      <c r="G982" s="522"/>
      <c r="H982" s="522"/>
      <c r="I982" s="522"/>
      <c r="J982" s="522"/>
      <c r="K982" s="523"/>
      <c r="L982" s="524"/>
      <c r="M982" s="524"/>
      <c r="N982" s="524"/>
      <c r="O982" s="525"/>
      <c r="P982" s="525"/>
    </row>
    <row r="983" spans="1:16" ht="21.75" customHeight="1" x14ac:dyDescent="0.35">
      <c r="A983" s="519"/>
      <c r="B983" s="519"/>
      <c r="C983" s="519"/>
      <c r="D983" s="519"/>
      <c r="E983" s="522"/>
      <c r="F983" s="522"/>
      <c r="G983" s="522"/>
      <c r="H983" s="522"/>
      <c r="I983" s="522"/>
      <c r="J983" s="522"/>
      <c r="K983" s="523"/>
      <c r="L983" s="524"/>
      <c r="M983" s="524"/>
      <c r="N983" s="524"/>
      <c r="O983" s="525"/>
      <c r="P983" s="525"/>
    </row>
    <row r="984" spans="1:16" ht="21.75" customHeight="1" x14ac:dyDescent="0.35">
      <c r="A984" s="519"/>
      <c r="B984" s="519"/>
      <c r="C984" s="519"/>
      <c r="D984" s="519"/>
      <c r="E984" s="522"/>
      <c r="F984" s="522"/>
      <c r="G984" s="522"/>
      <c r="H984" s="522"/>
      <c r="I984" s="522"/>
      <c r="J984" s="522"/>
      <c r="K984" s="523"/>
      <c r="L984" s="524"/>
      <c r="M984" s="524"/>
      <c r="N984" s="524"/>
      <c r="O984" s="525"/>
      <c r="P984" s="525"/>
    </row>
    <row r="985" spans="1:16" ht="21.75" customHeight="1" x14ac:dyDescent="0.35">
      <c r="A985" s="519"/>
      <c r="B985" s="519"/>
      <c r="C985" s="519"/>
      <c r="D985" s="519"/>
      <c r="E985" s="522"/>
      <c r="F985" s="522"/>
      <c r="G985" s="522"/>
      <c r="H985" s="522"/>
      <c r="I985" s="522"/>
      <c r="J985" s="522"/>
      <c r="K985" s="523"/>
      <c r="L985" s="524"/>
      <c r="M985" s="524"/>
      <c r="N985" s="524"/>
      <c r="O985" s="525"/>
      <c r="P985" s="525"/>
    </row>
    <row r="986" spans="1:16" ht="21.75" customHeight="1" x14ac:dyDescent="0.35">
      <c r="A986" s="519"/>
      <c r="B986" s="519"/>
      <c r="C986" s="519"/>
      <c r="D986" s="519"/>
      <c r="E986" s="522"/>
      <c r="F986" s="522"/>
      <c r="G986" s="522"/>
      <c r="H986" s="522"/>
      <c r="I986" s="522"/>
      <c r="J986" s="522"/>
      <c r="K986" s="523"/>
      <c r="L986" s="524"/>
      <c r="M986" s="524"/>
      <c r="N986" s="524"/>
      <c r="O986" s="525"/>
      <c r="P986" s="525"/>
    </row>
    <row r="987" spans="1:16" ht="21.75" customHeight="1" x14ac:dyDescent="0.35">
      <c r="A987" s="519"/>
      <c r="B987" s="519"/>
      <c r="C987" s="519"/>
      <c r="D987" s="519"/>
      <c r="E987" s="522"/>
      <c r="F987" s="522"/>
      <c r="G987" s="522"/>
      <c r="H987" s="522"/>
      <c r="I987" s="522"/>
      <c r="J987" s="522"/>
      <c r="K987" s="523"/>
      <c r="L987" s="524"/>
      <c r="M987" s="524"/>
      <c r="N987" s="524"/>
      <c r="O987" s="525"/>
      <c r="P987" s="525"/>
    </row>
    <row r="988" spans="1:16" ht="21.75" customHeight="1" x14ac:dyDescent="0.35">
      <c r="A988" s="519"/>
      <c r="B988" s="519"/>
      <c r="C988" s="519"/>
      <c r="D988" s="519"/>
      <c r="E988" s="522"/>
      <c r="F988" s="522"/>
      <c r="G988" s="522"/>
      <c r="H988" s="522"/>
      <c r="I988" s="522"/>
      <c r="J988" s="522"/>
      <c r="K988" s="523"/>
      <c r="L988" s="524"/>
      <c r="M988" s="524"/>
      <c r="N988" s="524"/>
      <c r="O988" s="525"/>
      <c r="P988" s="525"/>
    </row>
    <row r="989" spans="1:16" ht="21.75" customHeight="1" x14ac:dyDescent="0.35">
      <c r="A989" s="519"/>
      <c r="B989" s="519"/>
      <c r="C989" s="519"/>
      <c r="D989" s="519"/>
      <c r="E989" s="522"/>
      <c r="F989" s="522"/>
      <c r="G989" s="522"/>
      <c r="H989" s="522"/>
      <c r="I989" s="522"/>
      <c r="J989" s="522"/>
      <c r="K989" s="523"/>
      <c r="L989" s="524"/>
      <c r="M989" s="524"/>
      <c r="N989" s="524"/>
      <c r="O989" s="525"/>
      <c r="P989" s="525"/>
    </row>
    <row r="990" spans="1:16" ht="21.75" customHeight="1" x14ac:dyDescent="0.35">
      <c r="A990" s="519"/>
      <c r="B990" s="519"/>
      <c r="C990" s="519"/>
      <c r="D990" s="519"/>
      <c r="E990" s="522"/>
      <c r="F990" s="522"/>
      <c r="G990" s="522"/>
      <c r="H990" s="522"/>
      <c r="I990" s="522"/>
      <c r="J990" s="522"/>
      <c r="K990" s="523"/>
      <c r="L990" s="524"/>
      <c r="M990" s="524"/>
      <c r="N990" s="524"/>
      <c r="O990" s="525"/>
      <c r="P990" s="525"/>
    </row>
    <row r="991" spans="1:16" ht="21.75" customHeight="1" x14ac:dyDescent="0.35">
      <c r="A991" s="519"/>
      <c r="B991" s="519"/>
      <c r="C991" s="519"/>
      <c r="D991" s="519"/>
      <c r="E991" s="522"/>
      <c r="F991" s="522"/>
      <c r="G991" s="522"/>
      <c r="H991" s="522"/>
      <c r="I991" s="522"/>
      <c r="J991" s="522"/>
      <c r="K991" s="523"/>
      <c r="L991" s="524"/>
      <c r="M991" s="524"/>
      <c r="N991" s="524"/>
      <c r="O991" s="525"/>
      <c r="P991" s="525"/>
    </row>
    <row r="992" spans="1:16" ht="21.75" customHeight="1" x14ac:dyDescent="0.35">
      <c r="A992" s="519"/>
      <c r="B992" s="519"/>
      <c r="C992" s="519"/>
      <c r="D992" s="519"/>
      <c r="E992" s="522"/>
      <c r="F992" s="522"/>
      <c r="G992" s="522"/>
      <c r="H992" s="522"/>
      <c r="I992" s="522"/>
      <c r="J992" s="522"/>
      <c r="K992" s="523"/>
      <c r="L992" s="524"/>
      <c r="M992" s="524"/>
      <c r="N992" s="524"/>
      <c r="O992" s="525"/>
      <c r="P992" s="525"/>
    </row>
    <row r="993" spans="1:16" ht="21.75" customHeight="1" x14ac:dyDescent="0.35">
      <c r="A993" s="519"/>
      <c r="B993" s="519"/>
      <c r="C993" s="519"/>
      <c r="D993" s="519"/>
      <c r="E993" s="522"/>
      <c r="F993" s="522"/>
      <c r="G993" s="522"/>
      <c r="H993" s="522"/>
      <c r="I993" s="522"/>
      <c r="J993" s="522"/>
      <c r="K993" s="523"/>
      <c r="L993" s="524"/>
      <c r="M993" s="524"/>
      <c r="N993" s="524"/>
      <c r="O993" s="525"/>
      <c r="P993" s="525"/>
    </row>
    <row r="994" spans="1:16" ht="21.75" customHeight="1" x14ac:dyDescent="0.35">
      <c r="A994" s="519"/>
      <c r="B994" s="519"/>
      <c r="C994" s="519"/>
      <c r="D994" s="519"/>
      <c r="E994" s="522"/>
      <c r="F994" s="522"/>
      <c r="G994" s="522"/>
      <c r="H994" s="522"/>
      <c r="I994" s="522"/>
      <c r="J994" s="522"/>
      <c r="K994" s="523"/>
      <c r="L994" s="524"/>
      <c r="M994" s="524"/>
      <c r="N994" s="524"/>
      <c r="O994" s="525"/>
      <c r="P994" s="525"/>
    </row>
    <row r="995" spans="1:16" ht="21.75" customHeight="1" x14ac:dyDescent="0.35">
      <c r="A995" s="519"/>
      <c r="B995" s="519"/>
      <c r="C995" s="519"/>
      <c r="D995" s="519"/>
      <c r="E995" s="522"/>
      <c r="F995" s="522"/>
      <c r="G995" s="522"/>
      <c r="H995" s="522"/>
      <c r="I995" s="522"/>
      <c r="J995" s="522"/>
      <c r="K995" s="523"/>
      <c r="L995" s="524"/>
      <c r="M995" s="524"/>
      <c r="N995" s="524"/>
      <c r="O995" s="525"/>
      <c r="P995" s="525"/>
    </row>
    <row r="996" spans="1:16" ht="21.75" customHeight="1" x14ac:dyDescent="0.35">
      <c r="A996" s="519"/>
      <c r="B996" s="519"/>
      <c r="C996" s="519"/>
      <c r="D996" s="519"/>
      <c r="E996" s="522"/>
      <c r="F996" s="522"/>
      <c r="G996" s="522"/>
      <c r="H996" s="522"/>
      <c r="I996" s="522"/>
      <c r="J996" s="522"/>
      <c r="K996" s="523"/>
      <c r="L996" s="524"/>
      <c r="M996" s="524"/>
      <c r="N996" s="524"/>
      <c r="O996" s="525"/>
      <c r="P996" s="525"/>
    </row>
    <row r="997" spans="1:16" ht="21.75" customHeight="1" x14ac:dyDescent="0.35">
      <c r="A997" s="519"/>
      <c r="B997" s="519"/>
      <c r="C997" s="519"/>
      <c r="D997" s="519"/>
      <c r="E997" s="522"/>
      <c r="F997" s="522"/>
      <c r="G997" s="522"/>
      <c r="H997" s="522"/>
      <c r="I997" s="522"/>
      <c r="J997" s="522"/>
      <c r="K997" s="523"/>
      <c r="L997" s="524"/>
      <c r="M997" s="524"/>
      <c r="N997" s="524"/>
      <c r="O997" s="525"/>
      <c r="P997" s="525"/>
    </row>
    <row r="998" spans="1:16" ht="21.75" customHeight="1" x14ac:dyDescent="0.35">
      <c r="A998" s="519"/>
      <c r="B998" s="519"/>
      <c r="C998" s="519"/>
      <c r="D998" s="519"/>
      <c r="E998" s="522"/>
      <c r="F998" s="522"/>
      <c r="G998" s="522"/>
      <c r="H998" s="522"/>
      <c r="I998" s="522"/>
      <c r="J998" s="522"/>
      <c r="K998" s="523"/>
      <c r="L998" s="524"/>
      <c r="M998" s="524"/>
      <c r="N998" s="524"/>
      <c r="O998" s="525"/>
      <c r="P998" s="525"/>
    </row>
    <row r="999" spans="1:16" ht="21.75" customHeight="1" x14ac:dyDescent="0.35">
      <c r="A999" s="519"/>
      <c r="B999" s="519"/>
      <c r="C999" s="519"/>
      <c r="D999" s="519"/>
      <c r="E999" s="522"/>
      <c r="F999" s="522"/>
      <c r="G999" s="522"/>
      <c r="H999" s="522"/>
      <c r="I999" s="522"/>
      <c r="J999" s="522"/>
      <c r="K999" s="523"/>
      <c r="L999" s="524"/>
      <c r="M999" s="524"/>
      <c r="N999" s="524"/>
      <c r="O999" s="525"/>
      <c r="P999" s="525"/>
    </row>
    <row r="1000" spans="1:16" ht="21.75" customHeight="1" x14ac:dyDescent="0.35">
      <c r="A1000" s="519"/>
      <c r="B1000" s="519"/>
      <c r="C1000" s="519"/>
      <c r="D1000" s="519"/>
      <c r="E1000" s="522"/>
      <c r="F1000" s="522"/>
      <c r="G1000" s="522"/>
      <c r="H1000" s="522"/>
      <c r="I1000" s="522"/>
      <c r="J1000" s="522"/>
      <c r="K1000" s="523"/>
      <c r="L1000" s="524"/>
      <c r="M1000" s="524"/>
      <c r="N1000" s="524"/>
      <c r="O1000" s="525"/>
      <c r="P1000" s="525"/>
    </row>
    <row r="1001" spans="1:16" ht="21.75" customHeight="1" x14ac:dyDescent="0.35">
      <c r="A1001" s="519"/>
      <c r="B1001" s="519"/>
      <c r="C1001" s="519"/>
      <c r="D1001" s="519"/>
      <c r="E1001" s="522"/>
      <c r="F1001" s="522"/>
      <c r="G1001" s="522"/>
      <c r="H1001" s="522"/>
      <c r="I1001" s="522"/>
      <c r="J1001" s="522"/>
      <c r="K1001" s="523"/>
      <c r="L1001" s="524"/>
      <c r="M1001" s="524"/>
      <c r="N1001" s="524"/>
      <c r="O1001" s="525"/>
      <c r="P1001" s="525"/>
    </row>
    <row r="1002" spans="1:16" ht="21.75" customHeight="1" x14ac:dyDescent="0.35">
      <c r="A1002" s="519"/>
      <c r="B1002" s="519"/>
      <c r="C1002" s="519"/>
      <c r="D1002" s="519"/>
      <c r="E1002" s="522"/>
      <c r="F1002" s="522"/>
      <c r="G1002" s="522"/>
      <c r="H1002" s="522"/>
      <c r="I1002" s="522"/>
      <c r="J1002" s="522"/>
      <c r="K1002" s="523"/>
      <c r="L1002" s="524"/>
      <c r="M1002" s="524"/>
      <c r="N1002" s="524"/>
      <c r="O1002" s="525"/>
      <c r="P1002" s="525"/>
    </row>
    <row r="1003" spans="1:16" ht="21.75" customHeight="1" x14ac:dyDescent="0.35">
      <c r="A1003" s="519"/>
      <c r="B1003" s="519"/>
      <c r="C1003" s="519"/>
      <c r="D1003" s="519"/>
      <c r="E1003" s="522"/>
      <c r="F1003" s="522"/>
      <c r="G1003" s="522"/>
      <c r="H1003" s="522"/>
      <c r="I1003" s="522"/>
      <c r="J1003" s="522"/>
      <c r="K1003" s="523"/>
      <c r="L1003" s="524"/>
      <c r="M1003" s="524"/>
      <c r="N1003" s="524"/>
      <c r="O1003" s="525"/>
      <c r="P1003" s="525"/>
    </row>
    <row r="1004" spans="1:16" ht="21.75" customHeight="1" x14ac:dyDescent="0.35">
      <c r="A1004" s="519"/>
      <c r="B1004" s="519"/>
      <c r="C1004" s="519"/>
      <c r="D1004" s="519"/>
      <c r="E1004" s="522"/>
      <c r="F1004" s="522"/>
      <c r="G1004" s="522"/>
      <c r="H1004" s="522"/>
      <c r="I1004" s="522"/>
      <c r="J1004" s="522"/>
      <c r="K1004" s="523"/>
      <c r="L1004" s="524"/>
      <c r="M1004" s="524"/>
      <c r="N1004" s="524"/>
      <c r="O1004" s="525"/>
      <c r="P1004" s="525"/>
    </row>
    <row r="1005" spans="1:16" ht="21.75" customHeight="1" x14ac:dyDescent="0.35">
      <c r="A1005" s="519"/>
      <c r="B1005" s="519"/>
      <c r="C1005" s="519"/>
      <c r="D1005" s="519"/>
      <c r="E1005" s="522"/>
      <c r="F1005" s="522"/>
      <c r="G1005" s="522"/>
      <c r="H1005" s="522"/>
      <c r="I1005" s="522"/>
      <c r="J1005" s="522"/>
      <c r="K1005" s="523"/>
      <c r="L1005" s="524"/>
      <c r="M1005" s="524"/>
      <c r="N1005" s="524"/>
      <c r="O1005" s="525"/>
      <c r="P1005" s="525"/>
    </row>
    <row r="1006" spans="1:16" ht="21.75" customHeight="1" x14ac:dyDescent="0.35">
      <c r="A1006" s="519"/>
      <c r="B1006" s="519"/>
      <c r="C1006" s="519"/>
      <c r="D1006" s="519"/>
      <c r="E1006" s="522"/>
      <c r="F1006" s="522"/>
      <c r="G1006" s="522"/>
      <c r="H1006" s="522"/>
      <c r="I1006" s="522"/>
      <c r="J1006" s="522"/>
      <c r="K1006" s="523"/>
      <c r="L1006" s="524"/>
      <c r="M1006" s="524"/>
      <c r="N1006" s="524"/>
      <c r="O1006" s="525"/>
      <c r="P1006" s="525"/>
    </row>
    <row r="1007" spans="1:16" ht="21.75" customHeight="1" x14ac:dyDescent="0.35">
      <c r="A1007" s="519"/>
      <c r="B1007" s="519"/>
      <c r="C1007" s="519"/>
      <c r="D1007" s="519"/>
      <c r="E1007" s="522"/>
      <c r="F1007" s="522"/>
      <c r="G1007" s="522"/>
      <c r="H1007" s="522"/>
      <c r="I1007" s="522"/>
      <c r="J1007" s="522"/>
      <c r="K1007" s="523"/>
      <c r="L1007" s="524"/>
      <c r="M1007" s="524"/>
      <c r="N1007" s="524"/>
      <c r="O1007" s="525"/>
      <c r="P1007" s="525"/>
    </row>
    <row r="1008" spans="1:16" ht="21.75" customHeight="1" x14ac:dyDescent="0.35">
      <c r="A1008" s="519"/>
      <c r="B1008" s="519"/>
      <c r="C1008" s="519"/>
      <c r="D1008" s="519"/>
      <c r="E1008" s="522"/>
      <c r="F1008" s="522"/>
      <c r="G1008" s="522"/>
      <c r="H1008" s="522"/>
      <c r="I1008" s="522"/>
      <c r="J1008" s="522"/>
      <c r="K1008" s="523"/>
      <c r="L1008" s="524"/>
      <c r="M1008" s="524"/>
      <c r="N1008" s="524"/>
      <c r="O1008" s="525"/>
      <c r="P1008" s="525"/>
    </row>
    <row r="1009" spans="1:16" ht="21.75" customHeight="1" x14ac:dyDescent="0.35">
      <c r="A1009" s="519"/>
      <c r="B1009" s="519"/>
      <c r="C1009" s="519"/>
      <c r="D1009" s="519"/>
      <c r="E1009" s="522"/>
      <c r="F1009" s="522"/>
      <c r="G1009" s="522"/>
      <c r="H1009" s="522"/>
      <c r="I1009" s="522"/>
      <c r="J1009" s="522"/>
      <c r="K1009" s="523"/>
      <c r="L1009" s="524"/>
      <c r="M1009" s="524"/>
      <c r="N1009" s="524"/>
      <c r="O1009" s="525"/>
      <c r="P1009" s="525"/>
    </row>
    <row r="1010" spans="1:16" ht="21.75" customHeight="1" x14ac:dyDescent="0.35">
      <c r="A1010" s="519"/>
      <c r="B1010" s="519"/>
      <c r="C1010" s="519"/>
      <c r="D1010" s="519"/>
      <c r="E1010" s="522"/>
      <c r="F1010" s="522"/>
      <c r="G1010" s="522"/>
      <c r="H1010" s="522"/>
      <c r="I1010" s="522"/>
      <c r="J1010" s="522"/>
      <c r="K1010" s="523"/>
      <c r="L1010" s="524"/>
      <c r="M1010" s="524"/>
      <c r="N1010" s="524"/>
      <c r="O1010" s="525"/>
      <c r="P1010" s="525"/>
    </row>
    <row r="1011" spans="1:16" ht="21.75" customHeight="1" x14ac:dyDescent="0.35">
      <c r="A1011" s="519"/>
      <c r="B1011" s="519"/>
      <c r="C1011" s="519"/>
      <c r="D1011" s="519"/>
      <c r="E1011" s="522"/>
      <c r="F1011" s="522"/>
      <c r="G1011" s="522"/>
      <c r="H1011" s="522"/>
      <c r="I1011" s="522"/>
      <c r="J1011" s="522"/>
      <c r="K1011" s="523"/>
      <c r="L1011" s="524"/>
      <c r="M1011" s="524"/>
      <c r="N1011" s="524"/>
      <c r="O1011" s="525"/>
      <c r="P1011" s="525"/>
    </row>
    <row r="1012" spans="1:16" ht="21.75" customHeight="1" x14ac:dyDescent="0.35">
      <c r="A1012" s="519"/>
      <c r="B1012" s="519"/>
      <c r="C1012" s="519"/>
      <c r="D1012" s="519"/>
      <c r="E1012" s="522"/>
      <c r="F1012" s="522"/>
      <c r="G1012" s="522"/>
      <c r="H1012" s="522"/>
      <c r="I1012" s="522"/>
      <c r="J1012" s="522"/>
      <c r="K1012" s="523"/>
      <c r="L1012" s="524"/>
      <c r="M1012" s="524"/>
      <c r="N1012" s="524"/>
      <c r="O1012" s="525"/>
      <c r="P1012" s="525"/>
    </row>
    <row r="1013" spans="1:16" ht="21.75" customHeight="1" x14ac:dyDescent="0.35">
      <c r="A1013" s="519"/>
      <c r="B1013" s="519"/>
      <c r="C1013" s="519"/>
      <c r="D1013" s="519"/>
      <c r="E1013" s="522"/>
      <c r="F1013" s="522"/>
      <c r="G1013" s="522"/>
      <c r="H1013" s="522"/>
      <c r="I1013" s="522"/>
      <c r="J1013" s="522"/>
      <c r="K1013" s="523"/>
      <c r="L1013" s="524"/>
      <c r="M1013" s="524"/>
      <c r="N1013" s="524"/>
      <c r="O1013" s="525"/>
      <c r="P1013" s="525"/>
    </row>
    <row r="1014" spans="1:16" ht="21.75" customHeight="1" x14ac:dyDescent="0.35">
      <c r="A1014" s="519"/>
      <c r="B1014" s="519"/>
      <c r="C1014" s="519"/>
      <c r="D1014" s="519"/>
      <c r="E1014" s="522"/>
      <c r="F1014" s="522"/>
      <c r="G1014" s="522"/>
      <c r="H1014" s="522"/>
      <c r="I1014" s="522"/>
      <c r="J1014" s="522"/>
      <c r="K1014" s="523"/>
      <c r="L1014" s="524"/>
      <c r="M1014" s="524"/>
      <c r="N1014" s="524"/>
      <c r="O1014" s="525"/>
      <c r="P1014" s="525"/>
    </row>
    <row r="1015" spans="1:16" ht="21.75" customHeight="1" x14ac:dyDescent="0.35">
      <c r="A1015" s="519"/>
      <c r="B1015" s="519"/>
      <c r="C1015" s="519"/>
      <c r="D1015" s="519"/>
      <c r="E1015" s="522"/>
      <c r="F1015" s="522"/>
      <c r="G1015" s="522"/>
      <c r="H1015" s="522"/>
      <c r="I1015" s="522"/>
      <c r="J1015" s="522"/>
      <c r="K1015" s="523"/>
      <c r="L1015" s="524"/>
      <c r="M1015" s="524"/>
      <c r="N1015" s="524"/>
      <c r="O1015" s="525"/>
      <c r="P1015" s="525"/>
    </row>
    <row r="1016" spans="1:16" ht="21.75" customHeight="1" x14ac:dyDescent="0.35">
      <c r="A1016" s="519"/>
      <c r="B1016" s="519"/>
      <c r="C1016" s="519"/>
      <c r="D1016" s="519"/>
      <c r="E1016" s="522"/>
      <c r="F1016" s="522"/>
      <c r="G1016" s="522"/>
      <c r="H1016" s="522"/>
      <c r="I1016" s="522"/>
      <c r="J1016" s="522"/>
      <c r="K1016" s="523"/>
      <c r="L1016" s="524"/>
      <c r="M1016" s="524"/>
      <c r="N1016" s="524"/>
      <c r="O1016" s="525"/>
      <c r="P1016" s="525"/>
    </row>
    <row r="1017" spans="1:16" ht="21.75" customHeight="1" x14ac:dyDescent="0.35">
      <c r="A1017" s="519"/>
      <c r="B1017" s="519"/>
      <c r="C1017" s="519"/>
      <c r="D1017" s="519"/>
      <c r="E1017" s="522"/>
      <c r="F1017" s="522"/>
      <c r="G1017" s="522"/>
      <c r="H1017" s="522"/>
      <c r="I1017" s="522"/>
      <c r="J1017" s="522"/>
      <c r="K1017" s="523"/>
      <c r="L1017" s="524"/>
      <c r="M1017" s="524"/>
      <c r="N1017" s="524"/>
      <c r="O1017" s="525"/>
      <c r="P1017" s="525"/>
    </row>
    <row r="1018" spans="1:16" ht="21.75" customHeight="1" x14ac:dyDescent="0.35">
      <c r="A1018" s="519"/>
      <c r="B1018" s="519"/>
      <c r="C1018" s="519"/>
      <c r="D1018" s="519"/>
      <c r="E1018" s="522"/>
      <c r="F1018" s="522"/>
      <c r="G1018" s="522"/>
      <c r="H1018" s="522"/>
      <c r="I1018" s="522"/>
      <c r="J1018" s="522"/>
      <c r="K1018" s="523"/>
      <c r="L1018" s="524"/>
      <c r="M1018" s="524"/>
      <c r="N1018" s="524"/>
      <c r="O1018" s="525"/>
      <c r="P1018" s="525"/>
    </row>
    <row r="1019" spans="1:16" ht="21.75" customHeight="1" x14ac:dyDescent="0.35">
      <c r="A1019" s="519"/>
      <c r="B1019" s="519"/>
      <c r="C1019" s="519"/>
      <c r="D1019" s="519"/>
      <c r="E1019" s="522"/>
      <c r="F1019" s="522"/>
      <c r="G1019" s="522"/>
      <c r="H1019" s="522"/>
      <c r="I1019" s="522"/>
      <c r="J1019" s="522"/>
      <c r="K1019" s="523"/>
      <c r="L1019" s="524"/>
      <c r="M1019" s="524"/>
      <c r="N1019" s="524"/>
      <c r="O1019" s="525"/>
      <c r="P1019" s="525"/>
    </row>
    <row r="1020" spans="1:16" ht="21.75" customHeight="1" x14ac:dyDescent="0.35">
      <c r="A1020" s="519"/>
      <c r="B1020" s="519"/>
      <c r="C1020" s="519"/>
      <c r="D1020" s="519"/>
      <c r="E1020" s="522"/>
      <c r="F1020" s="522"/>
      <c r="G1020" s="522"/>
      <c r="H1020" s="522"/>
      <c r="I1020" s="522"/>
      <c r="J1020" s="522"/>
      <c r="K1020" s="523"/>
      <c r="L1020" s="524"/>
      <c r="M1020" s="524"/>
      <c r="N1020" s="524"/>
      <c r="O1020" s="525"/>
      <c r="P1020" s="525"/>
    </row>
    <row r="1021" spans="1:16" ht="21.75" customHeight="1" x14ac:dyDescent="0.35">
      <c r="A1021" s="519"/>
      <c r="B1021" s="519"/>
      <c r="C1021" s="519"/>
      <c r="D1021" s="519"/>
      <c r="E1021" s="522"/>
      <c r="F1021" s="522"/>
      <c r="G1021" s="522"/>
      <c r="H1021" s="522"/>
      <c r="I1021" s="522"/>
      <c r="J1021" s="522"/>
      <c r="K1021" s="523"/>
      <c r="L1021" s="524"/>
      <c r="M1021" s="524"/>
      <c r="N1021" s="524"/>
      <c r="O1021" s="525"/>
      <c r="P1021" s="525"/>
    </row>
    <row r="1022" spans="1:16" ht="21.75" customHeight="1" x14ac:dyDescent="0.35">
      <c r="A1022" s="519"/>
      <c r="B1022" s="519"/>
      <c r="C1022" s="519"/>
      <c r="D1022" s="519"/>
      <c r="E1022" s="522"/>
      <c r="F1022" s="522"/>
      <c r="G1022" s="522"/>
      <c r="H1022" s="522"/>
      <c r="I1022" s="522"/>
      <c r="J1022" s="522"/>
      <c r="K1022" s="523"/>
      <c r="L1022" s="524"/>
      <c r="M1022" s="524"/>
      <c r="N1022" s="524"/>
      <c r="O1022" s="525"/>
      <c r="P1022" s="525"/>
    </row>
    <row r="1023" spans="1:16" ht="21.75" customHeight="1" x14ac:dyDescent="0.35">
      <c r="A1023" s="519"/>
      <c r="B1023" s="519"/>
      <c r="C1023" s="519"/>
      <c r="D1023" s="519"/>
      <c r="E1023" s="522"/>
      <c r="F1023" s="522"/>
      <c r="G1023" s="522"/>
      <c r="H1023" s="522"/>
      <c r="I1023" s="522"/>
      <c r="J1023" s="522"/>
      <c r="K1023" s="523"/>
      <c r="L1023" s="524"/>
      <c r="M1023" s="524"/>
      <c r="N1023" s="524"/>
      <c r="O1023" s="525"/>
      <c r="P1023" s="525"/>
    </row>
    <row r="1024" spans="1:16" ht="21.75" customHeight="1" x14ac:dyDescent="0.35">
      <c r="A1024" s="519"/>
      <c r="B1024" s="519"/>
      <c r="C1024" s="519"/>
      <c r="D1024" s="519"/>
      <c r="E1024" s="522"/>
      <c r="F1024" s="522"/>
      <c r="G1024" s="522"/>
      <c r="H1024" s="522"/>
      <c r="I1024" s="522"/>
      <c r="J1024" s="522"/>
      <c r="K1024" s="523"/>
      <c r="L1024" s="524"/>
      <c r="M1024" s="524"/>
      <c r="N1024" s="524"/>
      <c r="O1024" s="525"/>
      <c r="P1024" s="525"/>
    </row>
    <row r="1025" spans="1:16" ht="21.75" customHeight="1" x14ac:dyDescent="0.35">
      <c r="A1025" s="519"/>
      <c r="B1025" s="519"/>
      <c r="C1025" s="519"/>
      <c r="D1025" s="519"/>
      <c r="E1025" s="522"/>
      <c r="F1025" s="522"/>
      <c r="G1025" s="522"/>
      <c r="H1025" s="522"/>
      <c r="I1025" s="522"/>
      <c r="J1025" s="522"/>
      <c r="K1025" s="523"/>
      <c r="L1025" s="524"/>
      <c r="M1025" s="524"/>
      <c r="N1025" s="524"/>
      <c r="O1025" s="525"/>
      <c r="P1025" s="525"/>
    </row>
    <row r="1026" spans="1:16" ht="21.75" customHeight="1" x14ac:dyDescent="0.35">
      <c r="A1026" s="519"/>
      <c r="B1026" s="519"/>
      <c r="C1026" s="519"/>
      <c r="D1026" s="519"/>
      <c r="E1026" s="522"/>
      <c r="F1026" s="522"/>
      <c r="G1026" s="522"/>
      <c r="H1026" s="522"/>
      <c r="I1026" s="522"/>
      <c r="J1026" s="522"/>
      <c r="K1026" s="523"/>
      <c r="L1026" s="524"/>
      <c r="M1026" s="524"/>
      <c r="N1026" s="524"/>
      <c r="O1026" s="525"/>
      <c r="P1026" s="525"/>
    </row>
    <row r="1027" spans="1:16" ht="21.75" customHeight="1" x14ac:dyDescent="0.35">
      <c r="A1027" s="519"/>
      <c r="B1027" s="519"/>
      <c r="C1027" s="519"/>
      <c r="D1027" s="519"/>
      <c r="E1027" s="522"/>
      <c r="F1027" s="522"/>
      <c r="G1027" s="522"/>
      <c r="H1027" s="522"/>
      <c r="I1027" s="522"/>
      <c r="J1027" s="522"/>
      <c r="K1027" s="523"/>
      <c r="L1027" s="524"/>
      <c r="M1027" s="524"/>
      <c r="N1027" s="524"/>
      <c r="O1027" s="525"/>
      <c r="P1027" s="525"/>
    </row>
    <row r="1028" spans="1:16" ht="21.75" customHeight="1" x14ac:dyDescent="0.35">
      <c r="A1028" s="519"/>
      <c r="B1028" s="519"/>
      <c r="C1028" s="519"/>
      <c r="D1028" s="519"/>
      <c r="E1028" s="522"/>
      <c r="F1028" s="522"/>
      <c r="G1028" s="522"/>
      <c r="H1028" s="522"/>
      <c r="I1028" s="522"/>
      <c r="J1028" s="522"/>
      <c r="K1028" s="523"/>
      <c r="L1028" s="524"/>
      <c r="M1028" s="524"/>
      <c r="N1028" s="524"/>
      <c r="O1028" s="525"/>
      <c r="P1028" s="525"/>
    </row>
    <row r="1029" spans="1:16" ht="21.75" customHeight="1" x14ac:dyDescent="0.35">
      <c r="A1029" s="519"/>
      <c r="B1029" s="519"/>
      <c r="C1029" s="519"/>
      <c r="D1029" s="519"/>
      <c r="E1029" s="522"/>
      <c r="F1029" s="522"/>
      <c r="G1029" s="522"/>
      <c r="H1029" s="522"/>
      <c r="I1029" s="522"/>
      <c r="J1029" s="522"/>
      <c r="K1029" s="523"/>
      <c r="L1029" s="524"/>
      <c r="M1029" s="524"/>
      <c r="N1029" s="524"/>
      <c r="O1029" s="525"/>
      <c r="P1029" s="525"/>
    </row>
    <row r="1030" spans="1:16" ht="21.75" customHeight="1" x14ac:dyDescent="0.35">
      <c r="A1030" s="519"/>
      <c r="B1030" s="519"/>
      <c r="C1030" s="519"/>
      <c r="D1030" s="519"/>
      <c r="E1030" s="522"/>
      <c r="F1030" s="522"/>
      <c r="G1030" s="522"/>
      <c r="H1030" s="522"/>
      <c r="I1030" s="522"/>
      <c r="J1030" s="522"/>
      <c r="K1030" s="523"/>
      <c r="L1030" s="524"/>
      <c r="M1030" s="524"/>
      <c r="N1030" s="524"/>
      <c r="O1030" s="525"/>
      <c r="P1030" s="525"/>
    </row>
    <row r="1031" spans="1:16" ht="21.75" customHeight="1" x14ac:dyDescent="0.35">
      <c r="A1031" s="519"/>
      <c r="B1031" s="519"/>
      <c r="C1031" s="519"/>
      <c r="D1031" s="519"/>
      <c r="E1031" s="522"/>
      <c r="F1031" s="522"/>
      <c r="G1031" s="522"/>
      <c r="H1031" s="522"/>
      <c r="I1031" s="522"/>
      <c r="J1031" s="522"/>
      <c r="K1031" s="523"/>
      <c r="L1031" s="524"/>
      <c r="M1031" s="524"/>
      <c r="N1031" s="524"/>
      <c r="O1031" s="525"/>
      <c r="P1031" s="525"/>
    </row>
    <row r="1032" spans="1:16" ht="21.75" customHeight="1" x14ac:dyDescent="0.35">
      <c r="A1032" s="519"/>
      <c r="B1032" s="519"/>
      <c r="C1032" s="519"/>
      <c r="D1032" s="519"/>
      <c r="E1032" s="522"/>
      <c r="F1032" s="522"/>
      <c r="G1032" s="522"/>
      <c r="H1032" s="522"/>
      <c r="I1032" s="522"/>
      <c r="J1032" s="522"/>
      <c r="K1032" s="523"/>
      <c r="L1032" s="524"/>
      <c r="M1032" s="524"/>
      <c r="N1032" s="524"/>
      <c r="O1032" s="525"/>
      <c r="P1032" s="525"/>
    </row>
    <row r="1033" spans="1:16" ht="21.75" customHeight="1" x14ac:dyDescent="0.35">
      <c r="A1033" s="519"/>
      <c r="B1033" s="519"/>
      <c r="C1033" s="519"/>
      <c r="D1033" s="519"/>
      <c r="E1033" s="522"/>
      <c r="F1033" s="522"/>
      <c r="G1033" s="522"/>
      <c r="H1033" s="522"/>
      <c r="I1033" s="522"/>
      <c r="J1033" s="522"/>
      <c r="K1033" s="523"/>
      <c r="L1033" s="524"/>
      <c r="M1033" s="524"/>
      <c r="N1033" s="524"/>
      <c r="O1033" s="525"/>
      <c r="P1033" s="525"/>
    </row>
    <row r="1034" spans="1:16" ht="21.75" customHeight="1" x14ac:dyDescent="0.35">
      <c r="A1034" s="519"/>
      <c r="B1034" s="519"/>
      <c r="C1034" s="519"/>
      <c r="D1034" s="519"/>
      <c r="E1034" s="522"/>
      <c r="F1034" s="522"/>
      <c r="G1034" s="522"/>
      <c r="H1034" s="522"/>
      <c r="I1034" s="522"/>
      <c r="J1034" s="522"/>
      <c r="K1034" s="523"/>
      <c r="L1034" s="524"/>
      <c r="M1034" s="524"/>
      <c r="N1034" s="524"/>
      <c r="O1034" s="525"/>
      <c r="P1034" s="525"/>
    </row>
    <row r="1035" spans="1:16" ht="21.75" customHeight="1" x14ac:dyDescent="0.35">
      <c r="A1035" s="519"/>
      <c r="B1035" s="519"/>
      <c r="C1035" s="519"/>
      <c r="D1035" s="519"/>
      <c r="E1035" s="522"/>
      <c r="F1035" s="522"/>
      <c r="G1035" s="522"/>
      <c r="H1035" s="522"/>
      <c r="I1035" s="522"/>
      <c r="J1035" s="522"/>
      <c r="K1035" s="523"/>
      <c r="L1035" s="524"/>
      <c r="M1035" s="524"/>
      <c r="N1035" s="524"/>
      <c r="O1035" s="525"/>
      <c r="P1035" s="525"/>
    </row>
    <row r="1036" spans="1:16" ht="21.75" customHeight="1" x14ac:dyDescent="0.35">
      <c r="A1036" s="519"/>
      <c r="B1036" s="519"/>
      <c r="C1036" s="519"/>
      <c r="D1036" s="519"/>
      <c r="E1036" s="522"/>
      <c r="F1036" s="522"/>
      <c r="G1036" s="522"/>
      <c r="H1036" s="522"/>
      <c r="I1036" s="522"/>
      <c r="J1036" s="522"/>
      <c r="K1036" s="523"/>
      <c r="L1036" s="524"/>
      <c r="M1036" s="524"/>
      <c r="N1036" s="524"/>
      <c r="O1036" s="525"/>
      <c r="P1036" s="525"/>
    </row>
    <row r="1037" spans="1:16" ht="21.75" customHeight="1" x14ac:dyDescent="0.35">
      <c r="A1037" s="519"/>
      <c r="B1037" s="519"/>
      <c r="C1037" s="519"/>
      <c r="D1037" s="519"/>
      <c r="E1037" s="522"/>
      <c r="F1037" s="522"/>
      <c r="G1037" s="522"/>
      <c r="H1037" s="522"/>
      <c r="I1037" s="522"/>
      <c r="J1037" s="522"/>
      <c r="K1037" s="523"/>
      <c r="L1037" s="524"/>
      <c r="M1037" s="524"/>
      <c r="N1037" s="524"/>
      <c r="O1037" s="525"/>
      <c r="P1037" s="525"/>
    </row>
    <row r="1038" spans="1:16" ht="21.75" customHeight="1" x14ac:dyDescent="0.35">
      <c r="A1038" s="519"/>
      <c r="B1038" s="519"/>
      <c r="C1038" s="519"/>
      <c r="D1038" s="519"/>
      <c r="E1038" s="522"/>
      <c r="F1038" s="522"/>
      <c r="G1038" s="522"/>
      <c r="H1038" s="522"/>
      <c r="I1038" s="522"/>
      <c r="J1038" s="522"/>
      <c r="K1038" s="523"/>
      <c r="L1038" s="524"/>
      <c r="M1038" s="524"/>
      <c r="N1038" s="524"/>
      <c r="O1038" s="525"/>
      <c r="P1038" s="525"/>
    </row>
    <row r="1039" spans="1:16" ht="21.75" customHeight="1" x14ac:dyDescent="0.35">
      <c r="A1039" s="519"/>
      <c r="B1039" s="519"/>
      <c r="C1039" s="519"/>
      <c r="D1039" s="519"/>
      <c r="E1039" s="522"/>
      <c r="F1039" s="522"/>
      <c r="G1039" s="522"/>
      <c r="H1039" s="522"/>
      <c r="I1039" s="522"/>
      <c r="J1039" s="522"/>
      <c r="K1039" s="523"/>
      <c r="L1039" s="524"/>
      <c r="M1039" s="524"/>
      <c r="N1039" s="524"/>
      <c r="O1039" s="525"/>
      <c r="P1039" s="525"/>
    </row>
    <row r="1040" spans="1:16" ht="21.75" customHeight="1" x14ac:dyDescent="0.35">
      <c r="A1040" s="519"/>
      <c r="B1040" s="519"/>
      <c r="C1040" s="519"/>
      <c r="D1040" s="519"/>
      <c r="E1040" s="522"/>
      <c r="F1040" s="522"/>
      <c r="G1040" s="522"/>
      <c r="H1040" s="522"/>
      <c r="I1040" s="522"/>
      <c r="J1040" s="522"/>
      <c r="K1040" s="523"/>
      <c r="L1040" s="524"/>
      <c r="M1040" s="524"/>
      <c r="N1040" s="524"/>
      <c r="O1040" s="525"/>
      <c r="P1040" s="525"/>
    </row>
    <row r="1041" spans="1:16" ht="21.75" customHeight="1" x14ac:dyDescent="0.35">
      <c r="A1041" s="519"/>
      <c r="B1041" s="519"/>
      <c r="C1041" s="519"/>
      <c r="D1041" s="519"/>
      <c r="E1041" s="522"/>
      <c r="F1041" s="522"/>
      <c r="G1041" s="522"/>
      <c r="H1041" s="522"/>
      <c r="I1041" s="522"/>
      <c r="J1041" s="522"/>
      <c r="K1041" s="523"/>
      <c r="L1041" s="524"/>
      <c r="M1041" s="524"/>
      <c r="N1041" s="524"/>
      <c r="O1041" s="525"/>
      <c r="P1041" s="525"/>
    </row>
    <row r="1042" spans="1:16" ht="21.75" customHeight="1" x14ac:dyDescent="0.35">
      <c r="A1042" s="519"/>
      <c r="B1042" s="519"/>
      <c r="C1042" s="519"/>
      <c r="D1042" s="519"/>
      <c r="E1042" s="522"/>
      <c r="F1042" s="522"/>
      <c r="G1042" s="522"/>
      <c r="H1042" s="522"/>
      <c r="I1042" s="522"/>
      <c r="J1042" s="522"/>
      <c r="K1042" s="523"/>
      <c r="L1042" s="524"/>
      <c r="M1042" s="524"/>
      <c r="N1042" s="524"/>
      <c r="O1042" s="525"/>
      <c r="P1042" s="525"/>
    </row>
    <row r="1043" spans="1:16" ht="21.75" customHeight="1" x14ac:dyDescent="0.35">
      <c r="A1043" s="519"/>
      <c r="B1043" s="519"/>
      <c r="C1043" s="519"/>
      <c r="D1043" s="519"/>
      <c r="E1043" s="522"/>
      <c r="F1043" s="522"/>
      <c r="G1043" s="522"/>
      <c r="H1043" s="522"/>
      <c r="I1043" s="522"/>
      <c r="J1043" s="522"/>
      <c r="K1043" s="523"/>
      <c r="L1043" s="524"/>
      <c r="M1043" s="524"/>
      <c r="N1043" s="524"/>
      <c r="O1043" s="525"/>
      <c r="P1043" s="525"/>
    </row>
    <row r="1044" spans="1:16" ht="21.75" customHeight="1" x14ac:dyDescent="0.35">
      <c r="A1044" s="519"/>
      <c r="B1044" s="519"/>
      <c r="C1044" s="519"/>
      <c r="D1044" s="519"/>
      <c r="E1044" s="522"/>
      <c r="F1044" s="522"/>
      <c r="G1044" s="522"/>
      <c r="H1044" s="522"/>
      <c r="I1044" s="522"/>
      <c r="J1044" s="522"/>
      <c r="K1044" s="523"/>
      <c r="L1044" s="524"/>
      <c r="M1044" s="524"/>
      <c r="N1044" s="524"/>
      <c r="O1044" s="525"/>
      <c r="P1044" s="525"/>
    </row>
    <row r="1045" spans="1:16" ht="21.75" customHeight="1" x14ac:dyDescent="0.35">
      <c r="A1045" s="519"/>
      <c r="B1045" s="519"/>
      <c r="C1045" s="519"/>
      <c r="D1045" s="519"/>
      <c r="E1045" s="522"/>
      <c r="F1045" s="522"/>
      <c r="G1045" s="522"/>
      <c r="H1045" s="522"/>
      <c r="I1045" s="522"/>
      <c r="J1045" s="522"/>
      <c r="K1045" s="523"/>
      <c r="L1045" s="524"/>
      <c r="M1045" s="524"/>
      <c r="N1045" s="524"/>
      <c r="O1045" s="525"/>
      <c r="P1045" s="525"/>
    </row>
    <row r="1046" spans="1:16" ht="21.75" customHeight="1" x14ac:dyDescent="0.35">
      <c r="A1046" s="519"/>
      <c r="B1046" s="519"/>
      <c r="C1046" s="519"/>
      <c r="D1046" s="519"/>
      <c r="E1046" s="522"/>
      <c r="F1046" s="522"/>
      <c r="G1046" s="522"/>
      <c r="H1046" s="522"/>
      <c r="I1046" s="522"/>
      <c r="J1046" s="522"/>
      <c r="K1046" s="523"/>
      <c r="L1046" s="524"/>
      <c r="M1046" s="524"/>
      <c r="N1046" s="524"/>
      <c r="O1046" s="525"/>
      <c r="P1046" s="525"/>
    </row>
    <row r="1047" spans="1:16" ht="21.75" customHeight="1" x14ac:dyDescent="0.35">
      <c r="A1047" s="519"/>
      <c r="B1047" s="519"/>
      <c r="C1047" s="519"/>
      <c r="D1047" s="519"/>
      <c r="E1047" s="522"/>
      <c r="F1047" s="522"/>
      <c r="G1047" s="522"/>
      <c r="H1047" s="522"/>
      <c r="I1047" s="522"/>
      <c r="J1047" s="522"/>
      <c r="K1047" s="523"/>
      <c r="L1047" s="524"/>
      <c r="M1047" s="524"/>
      <c r="N1047" s="524"/>
      <c r="O1047" s="525"/>
      <c r="P1047" s="525"/>
    </row>
    <row r="1048" spans="1:16" ht="21.75" customHeight="1" x14ac:dyDescent="0.35">
      <c r="A1048" s="519"/>
      <c r="B1048" s="519"/>
      <c r="C1048" s="519"/>
      <c r="D1048" s="519"/>
      <c r="E1048" s="522"/>
      <c r="F1048" s="522"/>
      <c r="G1048" s="522"/>
      <c r="H1048" s="522"/>
      <c r="I1048" s="522"/>
      <c r="J1048" s="522"/>
      <c r="K1048" s="523"/>
      <c r="L1048" s="524"/>
      <c r="M1048" s="524"/>
      <c r="N1048" s="524"/>
      <c r="O1048" s="525"/>
      <c r="P1048" s="525"/>
    </row>
    <row r="1049" spans="1:16" ht="21.75" customHeight="1" x14ac:dyDescent="0.35">
      <c r="A1049" s="519"/>
      <c r="B1049" s="519"/>
      <c r="C1049" s="519"/>
      <c r="D1049" s="519"/>
      <c r="E1049" s="522"/>
      <c r="F1049" s="522"/>
      <c r="G1049" s="522"/>
      <c r="H1049" s="522"/>
      <c r="I1049" s="522"/>
      <c r="J1049" s="522"/>
      <c r="K1049" s="523"/>
      <c r="L1049" s="524"/>
      <c r="M1049" s="524"/>
      <c r="N1049" s="524"/>
      <c r="O1049" s="525"/>
      <c r="P1049" s="525"/>
    </row>
    <row r="1050" spans="1:16" ht="21.75" customHeight="1" x14ac:dyDescent="0.35">
      <c r="A1050" s="519"/>
      <c r="B1050" s="519"/>
      <c r="C1050" s="519"/>
      <c r="D1050" s="519"/>
      <c r="E1050" s="522"/>
      <c r="F1050" s="522"/>
      <c r="G1050" s="522"/>
      <c r="H1050" s="522"/>
      <c r="I1050" s="522"/>
      <c r="J1050" s="522"/>
      <c r="K1050" s="523"/>
      <c r="L1050" s="524"/>
      <c r="M1050" s="524"/>
      <c r="N1050" s="524"/>
      <c r="O1050" s="525"/>
      <c r="P1050" s="525"/>
    </row>
    <row r="1051" spans="1:16" ht="21.75" customHeight="1" x14ac:dyDescent="0.35">
      <c r="A1051" s="519"/>
      <c r="B1051" s="519"/>
      <c r="C1051" s="519"/>
      <c r="D1051" s="519"/>
      <c r="E1051" s="522"/>
      <c r="F1051" s="522"/>
      <c r="G1051" s="522"/>
      <c r="H1051" s="522"/>
      <c r="I1051" s="522"/>
      <c r="J1051" s="522"/>
      <c r="K1051" s="523"/>
      <c r="L1051" s="524"/>
      <c r="M1051" s="524"/>
      <c r="N1051" s="524"/>
      <c r="O1051" s="525"/>
      <c r="P1051" s="525"/>
    </row>
    <row r="1052" spans="1:16" ht="21.75" customHeight="1" x14ac:dyDescent="0.35">
      <c r="A1052" s="519"/>
      <c r="B1052" s="519"/>
      <c r="C1052" s="519"/>
      <c r="D1052" s="519"/>
      <c r="E1052" s="522"/>
      <c r="F1052" s="522"/>
      <c r="G1052" s="522"/>
      <c r="H1052" s="522"/>
      <c r="I1052" s="522"/>
      <c r="J1052" s="522"/>
      <c r="K1052" s="523"/>
      <c r="L1052" s="524"/>
      <c r="M1052" s="524"/>
      <c r="N1052" s="524"/>
      <c r="O1052" s="525"/>
      <c r="P1052" s="525"/>
    </row>
    <row r="1053" spans="1:16" ht="21.75" customHeight="1" x14ac:dyDescent="0.35">
      <c r="A1053" s="519"/>
      <c r="B1053" s="519"/>
      <c r="C1053" s="519"/>
      <c r="D1053" s="519"/>
      <c r="E1053" s="522"/>
      <c r="F1053" s="522"/>
      <c r="G1053" s="522"/>
      <c r="H1053" s="522"/>
      <c r="I1053" s="522"/>
      <c r="J1053" s="522"/>
      <c r="K1053" s="523"/>
      <c r="L1053" s="524"/>
      <c r="M1053" s="524"/>
      <c r="N1053" s="524"/>
      <c r="O1053" s="525"/>
      <c r="P1053" s="525"/>
    </row>
    <row r="1054" spans="1:16" ht="21.75" customHeight="1" x14ac:dyDescent="0.35">
      <c r="A1054" s="519"/>
      <c r="B1054" s="519"/>
      <c r="C1054" s="519"/>
      <c r="D1054" s="519"/>
      <c r="E1054" s="522"/>
      <c r="F1054" s="522"/>
      <c r="G1054" s="522"/>
      <c r="H1054" s="522"/>
      <c r="I1054" s="522"/>
      <c r="J1054" s="522"/>
      <c r="K1054" s="523"/>
      <c r="L1054" s="524"/>
      <c r="M1054" s="524"/>
      <c r="N1054" s="524"/>
      <c r="O1054" s="525"/>
      <c r="P1054" s="525"/>
    </row>
    <row r="1055" spans="1:16" ht="21.75" customHeight="1" x14ac:dyDescent="0.35">
      <c r="A1055" s="519"/>
      <c r="B1055" s="519"/>
      <c r="C1055" s="519"/>
      <c r="D1055" s="519"/>
      <c r="E1055" s="522"/>
      <c r="F1055" s="522"/>
      <c r="G1055" s="522"/>
      <c r="H1055" s="522"/>
      <c r="I1055" s="522"/>
      <c r="J1055" s="522"/>
      <c r="K1055" s="523"/>
      <c r="L1055" s="524"/>
      <c r="M1055" s="524"/>
      <c r="N1055" s="524"/>
      <c r="O1055" s="525"/>
      <c r="P1055" s="525"/>
    </row>
    <row r="1056" spans="1:16" ht="21.75" customHeight="1" x14ac:dyDescent="0.35">
      <c r="A1056" s="519"/>
      <c r="B1056" s="519"/>
      <c r="C1056" s="519"/>
      <c r="D1056" s="519"/>
      <c r="E1056" s="522"/>
      <c r="F1056" s="522"/>
      <c r="G1056" s="522"/>
      <c r="H1056" s="522"/>
      <c r="I1056" s="522"/>
      <c r="J1056" s="522"/>
      <c r="K1056" s="523"/>
      <c r="L1056" s="524"/>
      <c r="M1056" s="524"/>
      <c r="N1056" s="524"/>
      <c r="O1056" s="525"/>
      <c r="P1056" s="525"/>
    </row>
    <row r="1057" spans="1:16" ht="21.75" customHeight="1" x14ac:dyDescent="0.35">
      <c r="A1057" s="519"/>
      <c r="B1057" s="519"/>
      <c r="C1057" s="519"/>
      <c r="D1057" s="519"/>
      <c r="E1057" s="522"/>
      <c r="F1057" s="522"/>
      <c r="G1057" s="522"/>
      <c r="H1057" s="522"/>
      <c r="I1057" s="522"/>
      <c r="J1057" s="522"/>
      <c r="K1057" s="523"/>
      <c r="L1057" s="524"/>
      <c r="M1057" s="524"/>
      <c r="N1057" s="524"/>
      <c r="O1057" s="525"/>
      <c r="P1057" s="525"/>
    </row>
    <row r="1058" spans="1:16" ht="21.75" customHeight="1" x14ac:dyDescent="0.35">
      <c r="A1058" s="519"/>
      <c r="B1058" s="519"/>
      <c r="C1058" s="519"/>
      <c r="D1058" s="519"/>
      <c r="E1058" s="522"/>
      <c r="F1058" s="522"/>
      <c r="G1058" s="522"/>
      <c r="H1058" s="522"/>
      <c r="I1058" s="522"/>
      <c r="J1058" s="522"/>
      <c r="K1058" s="523"/>
      <c r="L1058" s="524"/>
      <c r="M1058" s="524"/>
      <c r="N1058" s="524"/>
      <c r="O1058" s="525"/>
      <c r="P1058" s="525"/>
    </row>
    <row r="1059" spans="1:16" ht="21.75" customHeight="1" x14ac:dyDescent="0.35">
      <c r="A1059" s="519"/>
      <c r="B1059" s="519"/>
      <c r="C1059" s="519"/>
      <c r="D1059" s="519"/>
      <c r="E1059" s="522"/>
      <c r="F1059" s="522"/>
      <c r="G1059" s="522"/>
      <c r="H1059" s="522"/>
      <c r="I1059" s="522"/>
      <c r="J1059" s="522"/>
      <c r="K1059" s="523"/>
      <c r="L1059" s="524"/>
      <c r="M1059" s="524"/>
      <c r="N1059" s="524"/>
      <c r="O1059" s="525"/>
      <c r="P1059" s="525"/>
    </row>
    <row r="1060" spans="1:16" ht="21.75" customHeight="1" x14ac:dyDescent="0.35">
      <c r="A1060" s="519"/>
      <c r="B1060" s="519"/>
      <c r="C1060" s="519"/>
      <c r="D1060" s="519"/>
      <c r="E1060" s="522"/>
      <c r="F1060" s="522"/>
      <c r="G1060" s="522"/>
      <c r="H1060" s="522"/>
      <c r="I1060" s="522"/>
      <c r="J1060" s="522"/>
      <c r="K1060" s="523"/>
      <c r="L1060" s="524"/>
      <c r="M1060" s="524"/>
      <c r="N1060" s="524"/>
      <c r="O1060" s="525"/>
      <c r="P1060" s="525"/>
    </row>
    <row r="1061" spans="1:16" ht="21.75" customHeight="1" x14ac:dyDescent="0.35">
      <c r="A1061" s="519"/>
      <c r="B1061" s="519"/>
      <c r="C1061" s="519"/>
      <c r="D1061" s="519"/>
      <c r="E1061" s="522"/>
      <c r="F1061" s="522"/>
      <c r="G1061" s="522"/>
      <c r="H1061" s="522"/>
      <c r="I1061" s="522"/>
      <c r="J1061" s="522"/>
      <c r="K1061" s="523"/>
      <c r="L1061" s="524"/>
      <c r="M1061" s="524"/>
      <c r="N1061" s="524"/>
      <c r="O1061" s="525"/>
      <c r="P1061" s="525"/>
    </row>
    <row r="1062" spans="1:16" ht="21.75" customHeight="1" x14ac:dyDescent="0.35">
      <c r="A1062" s="519"/>
      <c r="B1062" s="519"/>
      <c r="C1062" s="519"/>
      <c r="D1062" s="519"/>
      <c r="E1062" s="522"/>
      <c r="F1062" s="522"/>
      <c r="G1062" s="522"/>
      <c r="H1062" s="522"/>
      <c r="I1062" s="522"/>
      <c r="J1062" s="522"/>
      <c r="K1062" s="523"/>
      <c r="L1062" s="524"/>
      <c r="M1062" s="524"/>
      <c r="N1062" s="524"/>
      <c r="O1062" s="525"/>
      <c r="P1062" s="525"/>
    </row>
    <row r="1063" spans="1:16" ht="21.75" customHeight="1" x14ac:dyDescent="0.35">
      <c r="A1063" s="519"/>
      <c r="B1063" s="519"/>
      <c r="C1063" s="519"/>
      <c r="D1063" s="519"/>
      <c r="E1063" s="522"/>
      <c r="F1063" s="522"/>
      <c r="G1063" s="522"/>
      <c r="H1063" s="522"/>
      <c r="I1063" s="522"/>
      <c r="J1063" s="522"/>
      <c r="K1063" s="523"/>
      <c r="L1063" s="524"/>
      <c r="M1063" s="524"/>
      <c r="N1063" s="524"/>
      <c r="O1063" s="525"/>
      <c r="P1063" s="525"/>
    </row>
    <row r="1064" spans="1:16" ht="21.75" customHeight="1" x14ac:dyDescent="0.35">
      <c r="A1064" s="519"/>
      <c r="B1064" s="519"/>
      <c r="C1064" s="519"/>
      <c r="D1064" s="519"/>
      <c r="E1064" s="522"/>
      <c r="F1064" s="522"/>
      <c r="G1064" s="522"/>
      <c r="H1064" s="522"/>
      <c r="I1064" s="522"/>
      <c r="J1064" s="522"/>
      <c r="K1064" s="523"/>
      <c r="L1064" s="524"/>
      <c r="M1064" s="524"/>
      <c r="N1064" s="524"/>
      <c r="O1064" s="525"/>
      <c r="P1064" s="525"/>
    </row>
    <row r="1065" spans="1:16" ht="21.75" customHeight="1" x14ac:dyDescent="0.35">
      <c r="A1065" s="519"/>
      <c r="B1065" s="519"/>
      <c r="C1065" s="519"/>
      <c r="D1065" s="519"/>
      <c r="E1065" s="522"/>
      <c r="F1065" s="522"/>
      <c r="G1065" s="522"/>
      <c r="H1065" s="522"/>
      <c r="I1065" s="522"/>
      <c r="J1065" s="522"/>
      <c r="K1065" s="523"/>
      <c r="L1065" s="524"/>
      <c r="M1065" s="524"/>
      <c r="N1065" s="524"/>
      <c r="O1065" s="525"/>
      <c r="P1065" s="525"/>
    </row>
    <row r="1066" spans="1:16" ht="21.75" customHeight="1" x14ac:dyDescent="0.35">
      <c r="A1066" s="519"/>
      <c r="B1066" s="519"/>
      <c r="C1066" s="519"/>
      <c r="D1066" s="519"/>
      <c r="E1066" s="522"/>
      <c r="F1066" s="522"/>
      <c r="G1066" s="522"/>
      <c r="H1066" s="522"/>
      <c r="I1066" s="522"/>
      <c r="J1066" s="522"/>
      <c r="K1066" s="523"/>
      <c r="L1066" s="524"/>
      <c r="M1066" s="524"/>
      <c r="N1066" s="524"/>
      <c r="O1066" s="525"/>
      <c r="P1066" s="525"/>
    </row>
    <row r="1067" spans="1:16" ht="21.75" customHeight="1" x14ac:dyDescent="0.35">
      <c r="A1067" s="519"/>
      <c r="B1067" s="519"/>
      <c r="C1067" s="519"/>
      <c r="D1067" s="519"/>
      <c r="E1067" s="522"/>
      <c r="F1067" s="522"/>
      <c r="G1067" s="522"/>
      <c r="H1067" s="522"/>
      <c r="I1067" s="522"/>
      <c r="J1067" s="522"/>
      <c r="K1067" s="523"/>
      <c r="L1067" s="524"/>
      <c r="M1067" s="524"/>
      <c r="N1067" s="524"/>
      <c r="O1067" s="525"/>
      <c r="P1067" s="525"/>
    </row>
    <row r="1068" spans="1:16" ht="21.75" customHeight="1" x14ac:dyDescent="0.35">
      <c r="A1068" s="519"/>
      <c r="B1068" s="519"/>
      <c r="C1068" s="519"/>
      <c r="D1068" s="519"/>
      <c r="E1068" s="522"/>
      <c r="F1068" s="522"/>
      <c r="G1068" s="522"/>
      <c r="H1068" s="522"/>
      <c r="I1068" s="522"/>
      <c r="J1068" s="522"/>
      <c r="K1068" s="523"/>
      <c r="L1068" s="524"/>
      <c r="M1068" s="524"/>
      <c r="N1068" s="524"/>
      <c r="O1068" s="525"/>
      <c r="P1068" s="525"/>
    </row>
    <row r="1069" spans="1:16" ht="21.75" customHeight="1" x14ac:dyDescent="0.35">
      <c r="A1069" s="519"/>
      <c r="B1069" s="519"/>
      <c r="C1069" s="519"/>
      <c r="D1069" s="519"/>
      <c r="E1069" s="522"/>
      <c r="F1069" s="522"/>
      <c r="G1069" s="522"/>
      <c r="H1069" s="522"/>
      <c r="I1069" s="522"/>
      <c r="J1069" s="522"/>
      <c r="K1069" s="523"/>
      <c r="L1069" s="524"/>
      <c r="M1069" s="524"/>
      <c r="N1069" s="524"/>
      <c r="O1069" s="525"/>
      <c r="P1069" s="525"/>
    </row>
    <row r="1070" spans="1:16" ht="21.75" customHeight="1" x14ac:dyDescent="0.35">
      <c r="A1070" s="519"/>
      <c r="B1070" s="519"/>
      <c r="C1070" s="519"/>
      <c r="D1070" s="519"/>
      <c r="E1070" s="522"/>
      <c r="F1070" s="522"/>
      <c r="G1070" s="522"/>
      <c r="H1070" s="522"/>
      <c r="I1070" s="522"/>
      <c r="J1070" s="522"/>
      <c r="K1070" s="523"/>
      <c r="L1070" s="524"/>
      <c r="M1070" s="524"/>
      <c r="N1070" s="524"/>
      <c r="O1070" s="525"/>
      <c r="P1070" s="525"/>
    </row>
    <row r="1071" spans="1:16" ht="21.75" customHeight="1" x14ac:dyDescent="0.35">
      <c r="A1071" s="519"/>
      <c r="B1071" s="519"/>
      <c r="C1071" s="519"/>
      <c r="D1071" s="519"/>
      <c r="E1071" s="522"/>
      <c r="F1071" s="522"/>
      <c r="G1071" s="522"/>
      <c r="H1071" s="522"/>
      <c r="I1071" s="522"/>
      <c r="J1071" s="522"/>
      <c r="K1071" s="523"/>
      <c r="L1071" s="524"/>
      <c r="M1071" s="524"/>
      <c r="N1071" s="524"/>
      <c r="O1071" s="525"/>
      <c r="P1071" s="525"/>
    </row>
    <row r="1072" spans="1:16" ht="21.75" customHeight="1" x14ac:dyDescent="0.35">
      <c r="A1072" s="519"/>
      <c r="B1072" s="519"/>
      <c r="C1072" s="519"/>
      <c r="D1072" s="519"/>
      <c r="E1072" s="522"/>
      <c r="F1072" s="522"/>
      <c r="G1072" s="522"/>
      <c r="H1072" s="522"/>
      <c r="I1072" s="522"/>
      <c r="J1072" s="522"/>
      <c r="K1072" s="523"/>
      <c r="L1072" s="524"/>
      <c r="M1072" s="524"/>
      <c r="N1072" s="524"/>
      <c r="O1072" s="525"/>
      <c r="P1072" s="525"/>
    </row>
    <row r="1073" spans="1:16" ht="21.75" customHeight="1" x14ac:dyDescent="0.35">
      <c r="A1073" s="519"/>
      <c r="B1073" s="519"/>
      <c r="C1073" s="519"/>
      <c r="D1073" s="519"/>
      <c r="E1073" s="522"/>
      <c r="F1073" s="522"/>
      <c r="G1073" s="522"/>
      <c r="H1073" s="522"/>
      <c r="I1073" s="522"/>
      <c r="J1073" s="522"/>
      <c r="K1073" s="523"/>
      <c r="L1073" s="524"/>
      <c r="M1073" s="524"/>
      <c r="N1073" s="524"/>
      <c r="O1073" s="525"/>
      <c r="P1073" s="525"/>
    </row>
    <row r="1074" spans="1:16" ht="21.75" customHeight="1" x14ac:dyDescent="0.35">
      <c r="A1074" s="519"/>
      <c r="B1074" s="519"/>
      <c r="C1074" s="519"/>
      <c r="D1074" s="519"/>
      <c r="E1074" s="522"/>
      <c r="F1074" s="522"/>
      <c r="G1074" s="522"/>
      <c r="H1074" s="522"/>
      <c r="I1074" s="522"/>
      <c r="J1074" s="522"/>
      <c r="K1074" s="523"/>
      <c r="L1074" s="524"/>
      <c r="M1074" s="524"/>
      <c r="N1074" s="524"/>
      <c r="O1074" s="525"/>
      <c r="P1074" s="525"/>
    </row>
    <row r="1075" spans="1:16" ht="21.75" customHeight="1" x14ac:dyDescent="0.35">
      <c r="A1075" s="519"/>
      <c r="B1075" s="519"/>
      <c r="C1075" s="519"/>
      <c r="D1075" s="519"/>
      <c r="E1075" s="522"/>
      <c r="F1075" s="522"/>
      <c r="G1075" s="522"/>
      <c r="H1075" s="522"/>
      <c r="I1075" s="522"/>
      <c r="J1075" s="522"/>
      <c r="K1075" s="523"/>
      <c r="L1075" s="524"/>
      <c r="M1075" s="524"/>
      <c r="N1075" s="524"/>
      <c r="O1075" s="525"/>
      <c r="P1075" s="525"/>
    </row>
    <row r="1076" spans="1:16" ht="21.75" customHeight="1" x14ac:dyDescent="0.35">
      <c r="A1076" s="519"/>
      <c r="B1076" s="519"/>
      <c r="C1076" s="519"/>
      <c r="D1076" s="519"/>
      <c r="E1076" s="522"/>
      <c r="F1076" s="522"/>
      <c r="G1076" s="522"/>
      <c r="H1076" s="522"/>
      <c r="I1076" s="522"/>
      <c r="J1076" s="522"/>
      <c r="K1076" s="523"/>
      <c r="L1076" s="524"/>
      <c r="M1076" s="524"/>
      <c r="N1076" s="524"/>
      <c r="O1076" s="525"/>
      <c r="P1076" s="525"/>
    </row>
    <row r="1077" spans="1:16" ht="21.75" customHeight="1" x14ac:dyDescent="0.35">
      <c r="A1077" s="519"/>
      <c r="B1077" s="519"/>
      <c r="C1077" s="519"/>
      <c r="D1077" s="519"/>
      <c r="E1077" s="522"/>
      <c r="F1077" s="522"/>
      <c r="G1077" s="522"/>
      <c r="H1077" s="522"/>
      <c r="I1077" s="522"/>
      <c r="J1077" s="522"/>
      <c r="K1077" s="523"/>
      <c r="L1077" s="524"/>
      <c r="M1077" s="524"/>
      <c r="N1077" s="524"/>
      <c r="O1077" s="525"/>
      <c r="P1077" s="525"/>
    </row>
    <row r="1078" spans="1:16" ht="21.75" customHeight="1" x14ac:dyDescent="0.35">
      <c r="A1078" s="519"/>
      <c r="B1078" s="519"/>
      <c r="C1078" s="519"/>
      <c r="D1078" s="519"/>
      <c r="E1078" s="522"/>
      <c r="F1078" s="522"/>
      <c r="G1078" s="522"/>
      <c r="H1078" s="522"/>
      <c r="I1078" s="522"/>
      <c r="J1078" s="522"/>
      <c r="K1078" s="523"/>
      <c r="L1078" s="524"/>
      <c r="M1078" s="524"/>
      <c r="N1078" s="524"/>
      <c r="O1078" s="525"/>
      <c r="P1078" s="525"/>
    </row>
    <row r="1079" spans="1:16" ht="21.75" customHeight="1" x14ac:dyDescent="0.35">
      <c r="A1079" s="519"/>
      <c r="B1079" s="519"/>
      <c r="C1079" s="519"/>
      <c r="D1079" s="519"/>
      <c r="E1079" s="522"/>
      <c r="F1079" s="522"/>
      <c r="G1079" s="522"/>
      <c r="H1079" s="522"/>
      <c r="I1079" s="522"/>
      <c r="J1079" s="522"/>
      <c r="K1079" s="523"/>
      <c r="L1079" s="524"/>
      <c r="M1079" s="524"/>
      <c r="N1079" s="524"/>
      <c r="O1079" s="525"/>
      <c r="P1079" s="525"/>
    </row>
    <row r="1080" spans="1:16" ht="21.75" customHeight="1" x14ac:dyDescent="0.35">
      <c r="A1080" s="519"/>
      <c r="B1080" s="519"/>
      <c r="C1080" s="519"/>
      <c r="D1080" s="519"/>
      <c r="E1080" s="522"/>
      <c r="F1080" s="522"/>
      <c r="G1080" s="522"/>
      <c r="H1080" s="522"/>
      <c r="I1080" s="522"/>
      <c r="J1080" s="522"/>
      <c r="K1080" s="523"/>
      <c r="L1080" s="524"/>
      <c r="M1080" s="524"/>
      <c r="N1080" s="524"/>
      <c r="O1080" s="525"/>
      <c r="P1080" s="525"/>
    </row>
    <row r="1081" spans="1:16" ht="21.75" customHeight="1" x14ac:dyDescent="0.35">
      <c r="A1081" s="519"/>
      <c r="B1081" s="519"/>
      <c r="C1081" s="519"/>
      <c r="D1081" s="519"/>
      <c r="E1081" s="522"/>
      <c r="F1081" s="522"/>
      <c r="G1081" s="522"/>
      <c r="H1081" s="522"/>
      <c r="I1081" s="522"/>
      <c r="J1081" s="522"/>
      <c r="K1081" s="523"/>
      <c r="L1081" s="524"/>
      <c r="M1081" s="524"/>
      <c r="N1081" s="524"/>
      <c r="O1081" s="525"/>
      <c r="P1081" s="525"/>
    </row>
    <row r="1082" spans="1:16" ht="21.75" customHeight="1" x14ac:dyDescent="0.35">
      <c r="A1082" s="519"/>
      <c r="B1082" s="519"/>
      <c r="C1082" s="519"/>
      <c r="D1082" s="519"/>
      <c r="E1082" s="522"/>
      <c r="F1082" s="522"/>
      <c r="G1082" s="522"/>
      <c r="H1082" s="522"/>
      <c r="I1082" s="522"/>
      <c r="J1082" s="522"/>
      <c r="K1082" s="523"/>
      <c r="L1082" s="524"/>
      <c r="M1082" s="524"/>
      <c r="N1082" s="524"/>
      <c r="O1082" s="525"/>
      <c r="P1082" s="525"/>
    </row>
    <row r="1083" spans="1:16" ht="21.75" customHeight="1" x14ac:dyDescent="0.35">
      <c r="A1083" s="519"/>
      <c r="B1083" s="519"/>
      <c r="C1083" s="519"/>
      <c r="D1083" s="519"/>
      <c r="E1083" s="522"/>
      <c r="F1083" s="522"/>
      <c r="G1083" s="522"/>
      <c r="H1083" s="522"/>
      <c r="I1083" s="522"/>
      <c r="J1083" s="522"/>
      <c r="K1083" s="523"/>
      <c r="L1083" s="524"/>
      <c r="M1083" s="524"/>
      <c r="N1083" s="524"/>
      <c r="O1083" s="525"/>
      <c r="P1083" s="525"/>
    </row>
    <row r="1084" spans="1:16" ht="21.75" customHeight="1" x14ac:dyDescent="0.35">
      <c r="A1084" s="519"/>
      <c r="B1084" s="519"/>
      <c r="C1084" s="519"/>
      <c r="D1084" s="519"/>
      <c r="E1084" s="522"/>
      <c r="F1084" s="522"/>
      <c r="G1084" s="522"/>
      <c r="H1084" s="522"/>
      <c r="I1084" s="522"/>
      <c r="J1084" s="522"/>
      <c r="K1084" s="523"/>
      <c r="L1084" s="524"/>
      <c r="M1084" s="524"/>
      <c r="N1084" s="524"/>
      <c r="O1084" s="525"/>
      <c r="P1084" s="525"/>
    </row>
    <row r="1085" spans="1:16" ht="21.75" customHeight="1" x14ac:dyDescent="0.35">
      <c r="A1085" s="519"/>
      <c r="B1085" s="519"/>
      <c r="C1085" s="519"/>
      <c r="D1085" s="519"/>
      <c r="E1085" s="522"/>
      <c r="F1085" s="522"/>
      <c r="G1085" s="522"/>
      <c r="H1085" s="522"/>
      <c r="I1085" s="522"/>
      <c r="J1085" s="522"/>
      <c r="K1085" s="523"/>
      <c r="L1085" s="524"/>
      <c r="M1085" s="524"/>
      <c r="N1085" s="524"/>
      <c r="O1085" s="525"/>
      <c r="P1085" s="525"/>
    </row>
    <row r="1086" spans="1:16" ht="21.75" customHeight="1" x14ac:dyDescent="0.35">
      <c r="A1086" s="519"/>
      <c r="B1086" s="519"/>
      <c r="C1086" s="519"/>
      <c r="D1086" s="519"/>
      <c r="E1086" s="522"/>
      <c r="F1086" s="522"/>
      <c r="G1086" s="522"/>
      <c r="H1086" s="522"/>
      <c r="I1086" s="522"/>
      <c r="J1086" s="522"/>
      <c r="K1086" s="523"/>
      <c r="L1086" s="524"/>
      <c r="M1086" s="524"/>
      <c r="N1086" s="524"/>
      <c r="O1086" s="525"/>
      <c r="P1086" s="525"/>
    </row>
    <row r="1087" spans="1:16" ht="21.75" customHeight="1" x14ac:dyDescent="0.35">
      <c r="A1087" s="519"/>
      <c r="B1087" s="519"/>
      <c r="C1087" s="519"/>
      <c r="D1087" s="519"/>
      <c r="E1087" s="522"/>
      <c r="F1087" s="522"/>
      <c r="G1087" s="522"/>
      <c r="H1087" s="522"/>
      <c r="I1087" s="522"/>
      <c r="J1087" s="522"/>
      <c r="K1087" s="523"/>
      <c r="L1087" s="524"/>
      <c r="M1087" s="524"/>
      <c r="N1087" s="524"/>
      <c r="O1087" s="525"/>
      <c r="P1087" s="525"/>
    </row>
    <row r="1088" spans="1:16" ht="21.75" customHeight="1" x14ac:dyDescent="0.35">
      <c r="A1088" s="519"/>
      <c r="B1088" s="519"/>
      <c r="C1088" s="519"/>
      <c r="D1088" s="519"/>
      <c r="E1088" s="522"/>
      <c r="F1088" s="522"/>
      <c r="G1088" s="522"/>
      <c r="H1088" s="522"/>
      <c r="I1088" s="522"/>
      <c r="J1088" s="522"/>
      <c r="K1088" s="523"/>
      <c r="L1088" s="524"/>
      <c r="M1088" s="524"/>
      <c r="N1088" s="524"/>
      <c r="O1088" s="525"/>
      <c r="P1088" s="525"/>
    </row>
    <row r="1089" spans="1:16" ht="21.75" customHeight="1" x14ac:dyDescent="0.35">
      <c r="A1089" s="519"/>
      <c r="B1089" s="519"/>
      <c r="C1089" s="519"/>
      <c r="D1089" s="519"/>
      <c r="E1089" s="522"/>
      <c r="F1089" s="522"/>
      <c r="G1089" s="522"/>
      <c r="H1089" s="522"/>
      <c r="I1089" s="522"/>
      <c r="J1089" s="522"/>
      <c r="K1089" s="523"/>
      <c r="L1089" s="524"/>
      <c r="M1089" s="524"/>
      <c r="N1089" s="524"/>
      <c r="O1089" s="525"/>
      <c r="P1089" s="525"/>
    </row>
    <row r="1090" spans="1:16" ht="21.75" customHeight="1" x14ac:dyDescent="0.35">
      <c r="A1090" s="519"/>
      <c r="B1090" s="519"/>
      <c r="C1090" s="519"/>
      <c r="D1090" s="519"/>
      <c r="E1090" s="522"/>
      <c r="F1090" s="522"/>
      <c r="G1090" s="522"/>
      <c r="H1090" s="522"/>
      <c r="I1090" s="522"/>
      <c r="J1090" s="522"/>
      <c r="K1090" s="523"/>
      <c r="L1090" s="524"/>
      <c r="M1090" s="524"/>
      <c r="N1090" s="524"/>
      <c r="O1090" s="525"/>
      <c r="P1090" s="525"/>
    </row>
    <row r="1091" spans="1:16" ht="21.75" customHeight="1" x14ac:dyDescent="0.35">
      <c r="A1091" s="519"/>
      <c r="B1091" s="519"/>
      <c r="C1091" s="519"/>
      <c r="D1091" s="519"/>
      <c r="E1091" s="522"/>
      <c r="F1091" s="522"/>
      <c r="G1091" s="522"/>
      <c r="H1091" s="522"/>
      <c r="I1091" s="522"/>
      <c r="J1091" s="522"/>
      <c r="K1091" s="523"/>
      <c r="L1091" s="524"/>
      <c r="M1091" s="524"/>
      <c r="N1091" s="524"/>
      <c r="O1091" s="525"/>
      <c r="P1091" s="525"/>
    </row>
    <row r="1092" spans="1:16" ht="21.75" customHeight="1" x14ac:dyDescent="0.35">
      <c r="A1092" s="519"/>
      <c r="B1092" s="519"/>
      <c r="C1092" s="519"/>
      <c r="D1092" s="519"/>
      <c r="E1092" s="522"/>
      <c r="F1092" s="522"/>
      <c r="G1092" s="522"/>
      <c r="H1092" s="522"/>
      <c r="I1092" s="522"/>
      <c r="J1092" s="522"/>
      <c r="K1092" s="523"/>
      <c r="L1092" s="524"/>
      <c r="M1092" s="524"/>
      <c r="N1092" s="524"/>
      <c r="O1092" s="525"/>
      <c r="P1092" s="525"/>
    </row>
    <row r="1093" spans="1:16" ht="21.75" customHeight="1" x14ac:dyDescent="0.35">
      <c r="A1093" s="519"/>
      <c r="B1093" s="519"/>
      <c r="C1093" s="519"/>
      <c r="D1093" s="519"/>
      <c r="E1093" s="522"/>
      <c r="F1093" s="522"/>
      <c r="G1093" s="522"/>
      <c r="H1093" s="522"/>
      <c r="I1093" s="522"/>
      <c r="J1093" s="522"/>
      <c r="K1093" s="523"/>
      <c r="L1093" s="524"/>
      <c r="M1093" s="524"/>
      <c r="N1093" s="524"/>
      <c r="O1093" s="525"/>
      <c r="P1093" s="525"/>
    </row>
    <row r="1094" spans="1:16" ht="21.75" customHeight="1" x14ac:dyDescent="0.35">
      <c r="A1094" s="519"/>
      <c r="B1094" s="519"/>
      <c r="C1094" s="519"/>
      <c r="D1094" s="519"/>
      <c r="E1094" s="522"/>
      <c r="F1094" s="522"/>
      <c r="G1094" s="522"/>
      <c r="H1094" s="522"/>
      <c r="I1094" s="522"/>
      <c r="J1094" s="522"/>
      <c r="K1094" s="523"/>
      <c r="L1094" s="524"/>
      <c r="M1094" s="524"/>
      <c r="N1094" s="524"/>
      <c r="O1094" s="525"/>
      <c r="P1094" s="525"/>
    </row>
    <row r="1095" spans="1:16" ht="21.75" customHeight="1" x14ac:dyDescent="0.35">
      <c r="A1095" s="519"/>
      <c r="B1095" s="519"/>
      <c r="C1095" s="519"/>
      <c r="D1095" s="519"/>
      <c r="E1095" s="522"/>
      <c r="F1095" s="522"/>
      <c r="G1095" s="522"/>
      <c r="H1095" s="522"/>
      <c r="I1095" s="522"/>
      <c r="J1095" s="522"/>
      <c r="K1095" s="523"/>
      <c r="L1095" s="524"/>
      <c r="M1095" s="524"/>
      <c r="N1095" s="524"/>
      <c r="O1095" s="525"/>
      <c r="P1095" s="525"/>
    </row>
    <row r="1096" spans="1:16" ht="21.75" customHeight="1" x14ac:dyDescent="0.35">
      <c r="A1096" s="519"/>
      <c r="B1096" s="519"/>
      <c r="C1096" s="519"/>
      <c r="D1096" s="519"/>
      <c r="E1096" s="522"/>
      <c r="F1096" s="522"/>
      <c r="G1096" s="522"/>
      <c r="H1096" s="522"/>
      <c r="I1096" s="522"/>
      <c r="J1096" s="522"/>
      <c r="K1096" s="523"/>
      <c r="L1096" s="524"/>
      <c r="M1096" s="524"/>
      <c r="N1096" s="524"/>
      <c r="O1096" s="525"/>
      <c r="P1096" s="525"/>
    </row>
    <row r="1097" spans="1:16" ht="21.75" customHeight="1" x14ac:dyDescent="0.35">
      <c r="A1097" s="519"/>
      <c r="B1097" s="519"/>
      <c r="C1097" s="519"/>
      <c r="D1097" s="519"/>
      <c r="E1097" s="522"/>
      <c r="F1097" s="522"/>
      <c r="G1097" s="522"/>
      <c r="H1097" s="522"/>
      <c r="I1097" s="522"/>
      <c r="J1097" s="522"/>
      <c r="K1097" s="523"/>
      <c r="L1097" s="524"/>
      <c r="M1097" s="524"/>
      <c r="N1097" s="524"/>
      <c r="O1097" s="525"/>
      <c r="P1097" s="525"/>
    </row>
    <row r="1098" spans="1:16" ht="21.75" customHeight="1" x14ac:dyDescent="0.35">
      <c r="A1098" s="519"/>
      <c r="B1098" s="519"/>
      <c r="C1098" s="519"/>
      <c r="D1098" s="519"/>
      <c r="E1098" s="522"/>
      <c r="F1098" s="522"/>
      <c r="G1098" s="522"/>
      <c r="H1098" s="522"/>
      <c r="I1098" s="522"/>
      <c r="J1098" s="522"/>
      <c r="K1098" s="523"/>
      <c r="L1098" s="524"/>
      <c r="M1098" s="524"/>
      <c r="N1098" s="524"/>
      <c r="O1098" s="525"/>
      <c r="P1098" s="525"/>
    </row>
    <row r="1099" spans="1:16" ht="21.75" customHeight="1" x14ac:dyDescent="0.35">
      <c r="A1099" s="519"/>
      <c r="B1099" s="519"/>
      <c r="C1099" s="519"/>
      <c r="D1099" s="519"/>
      <c r="E1099" s="522"/>
      <c r="F1099" s="522"/>
      <c r="G1099" s="522"/>
      <c r="H1099" s="522"/>
      <c r="I1099" s="522"/>
      <c r="J1099" s="522"/>
      <c r="K1099" s="523"/>
      <c r="L1099" s="524"/>
      <c r="M1099" s="524"/>
      <c r="N1099" s="524"/>
      <c r="O1099" s="525"/>
      <c r="P1099" s="525"/>
    </row>
    <row r="1100" spans="1:16" ht="21.75" customHeight="1" x14ac:dyDescent="0.35">
      <c r="A1100" s="519"/>
      <c r="B1100" s="519"/>
      <c r="C1100" s="519"/>
      <c r="D1100" s="519"/>
      <c r="E1100" s="522"/>
      <c r="F1100" s="522"/>
      <c r="G1100" s="522"/>
      <c r="H1100" s="522"/>
      <c r="I1100" s="522"/>
      <c r="J1100" s="522"/>
      <c r="K1100" s="523"/>
      <c r="L1100" s="524"/>
      <c r="M1100" s="524"/>
      <c r="N1100" s="524"/>
      <c r="O1100" s="525"/>
      <c r="P1100" s="525"/>
    </row>
    <row r="1101" spans="1:16" ht="21.75" customHeight="1" x14ac:dyDescent="0.35">
      <c r="A1101" s="519"/>
      <c r="B1101" s="519"/>
      <c r="C1101" s="519"/>
      <c r="D1101" s="519"/>
      <c r="E1101" s="522"/>
      <c r="F1101" s="522"/>
      <c r="G1101" s="522"/>
      <c r="H1101" s="522"/>
      <c r="I1101" s="522"/>
      <c r="J1101" s="522"/>
      <c r="K1101" s="523"/>
      <c r="L1101" s="524"/>
      <c r="M1101" s="524"/>
      <c r="N1101" s="524"/>
      <c r="O1101" s="525"/>
      <c r="P1101" s="525"/>
    </row>
    <row r="1102" spans="1:16" ht="21.75" customHeight="1" x14ac:dyDescent="0.35">
      <c r="A1102" s="519"/>
      <c r="B1102" s="519"/>
      <c r="C1102" s="519"/>
      <c r="D1102" s="519"/>
      <c r="E1102" s="522"/>
      <c r="F1102" s="522"/>
      <c r="G1102" s="522"/>
      <c r="H1102" s="522"/>
      <c r="I1102" s="522"/>
      <c r="J1102" s="522"/>
      <c r="K1102" s="523"/>
      <c r="L1102" s="524"/>
      <c r="M1102" s="524"/>
      <c r="N1102" s="524"/>
      <c r="O1102" s="525"/>
      <c r="P1102" s="525"/>
    </row>
    <row r="1103" spans="1:16" ht="21.75" customHeight="1" x14ac:dyDescent="0.35">
      <c r="A1103" s="519"/>
      <c r="B1103" s="519"/>
      <c r="C1103" s="519"/>
      <c r="D1103" s="519"/>
      <c r="E1103" s="522"/>
      <c r="F1103" s="522"/>
      <c r="G1103" s="522"/>
      <c r="H1103" s="522"/>
      <c r="I1103" s="522"/>
      <c r="J1103" s="522"/>
      <c r="K1103" s="523"/>
      <c r="L1103" s="524"/>
      <c r="M1103" s="524"/>
      <c r="N1103" s="524"/>
      <c r="O1103" s="525"/>
      <c r="P1103" s="525"/>
    </row>
    <row r="1104" spans="1:16" ht="21.75" customHeight="1" x14ac:dyDescent="0.35">
      <c r="A1104" s="519"/>
      <c r="B1104" s="519"/>
      <c r="C1104" s="519"/>
      <c r="D1104" s="519"/>
      <c r="E1104" s="522"/>
      <c r="F1104" s="522"/>
      <c r="G1104" s="522"/>
      <c r="H1104" s="522"/>
      <c r="I1104" s="522"/>
      <c r="J1104" s="522"/>
      <c r="K1104" s="523"/>
      <c r="L1104" s="524"/>
      <c r="M1104" s="524"/>
      <c r="N1104" s="524"/>
      <c r="O1104" s="525"/>
      <c r="P1104" s="525"/>
    </row>
    <row r="1105" spans="1:16" ht="21.75" customHeight="1" x14ac:dyDescent="0.35">
      <c r="A1105" s="519"/>
      <c r="B1105" s="519"/>
      <c r="C1105" s="519"/>
      <c r="D1105" s="519"/>
      <c r="E1105" s="522"/>
      <c r="F1105" s="522"/>
      <c r="G1105" s="522"/>
      <c r="H1105" s="522"/>
      <c r="I1105" s="522"/>
      <c r="J1105" s="522"/>
      <c r="K1105" s="523"/>
      <c r="L1105" s="524"/>
      <c r="M1105" s="524"/>
      <c r="N1105" s="524"/>
      <c r="O1105" s="525"/>
      <c r="P1105" s="525"/>
    </row>
    <row r="1106" spans="1:16" ht="21.75" customHeight="1" x14ac:dyDescent="0.35">
      <c r="A1106" s="519"/>
      <c r="B1106" s="519"/>
      <c r="C1106" s="519"/>
      <c r="D1106" s="519"/>
      <c r="E1106" s="522"/>
      <c r="F1106" s="522"/>
      <c r="G1106" s="522"/>
      <c r="H1106" s="522"/>
      <c r="I1106" s="522"/>
      <c r="J1106" s="522"/>
      <c r="K1106" s="523"/>
      <c r="L1106" s="524"/>
      <c r="M1106" s="524"/>
      <c r="N1106" s="524"/>
      <c r="O1106" s="525"/>
      <c r="P1106" s="525"/>
    </row>
    <row r="1107" spans="1:16" ht="21.75" customHeight="1" x14ac:dyDescent="0.35">
      <c r="A1107" s="519"/>
      <c r="B1107" s="519"/>
      <c r="C1107" s="519"/>
      <c r="D1107" s="519"/>
      <c r="E1107" s="522"/>
      <c r="F1107" s="522"/>
      <c r="G1107" s="522"/>
      <c r="H1107" s="522"/>
      <c r="I1107" s="522"/>
      <c r="J1107" s="522"/>
      <c r="K1107" s="523"/>
      <c r="L1107" s="524"/>
      <c r="M1107" s="524"/>
      <c r="N1107" s="524"/>
      <c r="O1107" s="525"/>
      <c r="P1107" s="525"/>
    </row>
    <row r="1108" spans="1:16" ht="21.75" customHeight="1" x14ac:dyDescent="0.35">
      <c r="A1108" s="519"/>
      <c r="B1108" s="519"/>
      <c r="C1108" s="519"/>
      <c r="D1108" s="519"/>
      <c r="E1108" s="522"/>
      <c r="F1108" s="522"/>
      <c r="G1108" s="522"/>
      <c r="H1108" s="522"/>
      <c r="I1108" s="522"/>
      <c r="J1108" s="522"/>
      <c r="K1108" s="523"/>
      <c r="L1108" s="524"/>
      <c r="M1108" s="524"/>
      <c r="N1108" s="524"/>
      <c r="O1108" s="525"/>
      <c r="P1108" s="525"/>
    </row>
    <row r="1109" spans="1:16" ht="21.75" customHeight="1" x14ac:dyDescent="0.35">
      <c r="A1109" s="519"/>
      <c r="B1109" s="519"/>
      <c r="C1109" s="519"/>
      <c r="D1109" s="519"/>
      <c r="E1109" s="522"/>
      <c r="F1109" s="522"/>
      <c r="G1109" s="522"/>
      <c r="H1109" s="522"/>
      <c r="I1109" s="522"/>
      <c r="J1109" s="522"/>
      <c r="K1109" s="523"/>
      <c r="L1109" s="524"/>
      <c r="M1109" s="524"/>
      <c r="N1109" s="524"/>
      <c r="O1109" s="525"/>
      <c r="P1109" s="525"/>
    </row>
    <row r="1110" spans="1:16" ht="21.75" customHeight="1" x14ac:dyDescent="0.35">
      <c r="A1110" s="519"/>
      <c r="B1110" s="519"/>
      <c r="C1110" s="519"/>
      <c r="D1110" s="519"/>
      <c r="E1110" s="522"/>
      <c r="F1110" s="522"/>
      <c r="G1110" s="522"/>
      <c r="H1110" s="522"/>
      <c r="I1110" s="522"/>
      <c r="J1110" s="522"/>
      <c r="K1110" s="523"/>
      <c r="L1110" s="524"/>
      <c r="M1110" s="524"/>
      <c r="N1110" s="524"/>
      <c r="O1110" s="525"/>
      <c r="P1110" s="525"/>
    </row>
    <row r="1111" spans="1:16" ht="21.75" customHeight="1" x14ac:dyDescent="0.35">
      <c r="A1111" s="519"/>
      <c r="B1111" s="519"/>
      <c r="C1111" s="519"/>
      <c r="D1111" s="519"/>
      <c r="E1111" s="522"/>
      <c r="F1111" s="522"/>
      <c r="G1111" s="522"/>
      <c r="H1111" s="522"/>
      <c r="I1111" s="522"/>
      <c r="J1111" s="522"/>
      <c r="K1111" s="523"/>
      <c r="L1111" s="524"/>
      <c r="M1111" s="524"/>
      <c r="N1111" s="524"/>
      <c r="O1111" s="525"/>
      <c r="P1111" s="525"/>
    </row>
    <row r="1112" spans="1:16" ht="21.75" customHeight="1" x14ac:dyDescent="0.35">
      <c r="A1112" s="519"/>
      <c r="B1112" s="519"/>
      <c r="C1112" s="519"/>
      <c r="D1112" s="519"/>
      <c r="E1112" s="522"/>
      <c r="F1112" s="522"/>
      <c r="G1112" s="522"/>
      <c r="H1112" s="522"/>
      <c r="I1112" s="522"/>
      <c r="J1112" s="522"/>
      <c r="K1112" s="523"/>
      <c r="L1112" s="524"/>
      <c r="M1112" s="524"/>
      <c r="N1112" s="524"/>
      <c r="O1112" s="525"/>
      <c r="P1112" s="525"/>
    </row>
    <row r="1113" spans="1:16" ht="21.75" customHeight="1" x14ac:dyDescent="0.35">
      <c r="A1113" s="519"/>
      <c r="B1113" s="519"/>
      <c r="C1113" s="519"/>
      <c r="D1113" s="519"/>
      <c r="E1113" s="522"/>
      <c r="F1113" s="522"/>
      <c r="G1113" s="522"/>
      <c r="H1113" s="522"/>
      <c r="I1113" s="522"/>
      <c r="J1113" s="522"/>
      <c r="K1113" s="523"/>
      <c r="L1113" s="524"/>
      <c r="M1113" s="524"/>
      <c r="N1113" s="524"/>
      <c r="O1113" s="525"/>
      <c r="P1113" s="525"/>
    </row>
    <row r="1114" spans="1:16" ht="21.75" customHeight="1" x14ac:dyDescent="0.35">
      <c r="A1114" s="519"/>
      <c r="B1114" s="519"/>
      <c r="C1114" s="519"/>
      <c r="D1114" s="519"/>
      <c r="E1114" s="522"/>
      <c r="F1114" s="522"/>
      <c r="G1114" s="522"/>
      <c r="H1114" s="522"/>
      <c r="I1114" s="522"/>
      <c r="J1114" s="522"/>
      <c r="K1114" s="523"/>
      <c r="L1114" s="524"/>
      <c r="M1114" s="524"/>
      <c r="N1114" s="524"/>
      <c r="O1114" s="525"/>
      <c r="P1114" s="525"/>
    </row>
    <row r="1115" spans="1:16" ht="21.75" customHeight="1" x14ac:dyDescent="0.35">
      <c r="A1115" s="519"/>
      <c r="B1115" s="519"/>
      <c r="C1115" s="519"/>
      <c r="D1115" s="519"/>
      <c r="E1115" s="522"/>
      <c r="F1115" s="522"/>
      <c r="G1115" s="522"/>
      <c r="H1115" s="522"/>
      <c r="I1115" s="522"/>
      <c r="J1115" s="522"/>
      <c r="K1115" s="523"/>
      <c r="L1115" s="524"/>
      <c r="M1115" s="524"/>
      <c r="N1115" s="524"/>
      <c r="O1115" s="525"/>
      <c r="P1115" s="525"/>
    </row>
    <row r="1116" spans="1:16" ht="21.75" customHeight="1" x14ac:dyDescent="0.35">
      <c r="A1116" s="519"/>
      <c r="B1116" s="519"/>
      <c r="C1116" s="519"/>
      <c r="D1116" s="519"/>
      <c r="E1116" s="522"/>
      <c r="F1116" s="522"/>
      <c r="G1116" s="522"/>
      <c r="H1116" s="522"/>
      <c r="I1116" s="522"/>
      <c r="J1116" s="522"/>
      <c r="K1116" s="523"/>
      <c r="L1116" s="524"/>
      <c r="M1116" s="524"/>
      <c r="N1116" s="524"/>
      <c r="O1116" s="525"/>
      <c r="P1116" s="525"/>
    </row>
    <row r="1117" spans="1:16" ht="21.75" customHeight="1" x14ac:dyDescent="0.35">
      <c r="A1117" s="519"/>
      <c r="B1117" s="519"/>
      <c r="C1117" s="519"/>
      <c r="D1117" s="519"/>
      <c r="E1117" s="522"/>
      <c r="F1117" s="522"/>
      <c r="G1117" s="522"/>
      <c r="H1117" s="522"/>
      <c r="I1117" s="522"/>
      <c r="J1117" s="522"/>
      <c r="K1117" s="523"/>
      <c r="L1117" s="524"/>
      <c r="M1117" s="524"/>
      <c r="N1117" s="524"/>
      <c r="O1117" s="525"/>
      <c r="P1117" s="525"/>
    </row>
    <row r="1118" spans="1:16" ht="21.75" customHeight="1" x14ac:dyDescent="0.35">
      <c r="A1118" s="519"/>
      <c r="B1118" s="519"/>
      <c r="C1118" s="519"/>
      <c r="D1118" s="519"/>
      <c r="E1118" s="522"/>
      <c r="F1118" s="522"/>
      <c r="G1118" s="522"/>
      <c r="H1118" s="522"/>
      <c r="I1118" s="522"/>
      <c r="J1118" s="522"/>
      <c r="K1118" s="523"/>
      <c r="L1118" s="524"/>
      <c r="M1118" s="524"/>
      <c r="N1118" s="524"/>
      <c r="O1118" s="525"/>
      <c r="P1118" s="525"/>
    </row>
    <row r="1119" spans="1:16" ht="21.75" customHeight="1" x14ac:dyDescent="0.35">
      <c r="A1119" s="519"/>
      <c r="B1119" s="519"/>
      <c r="C1119" s="519"/>
      <c r="D1119" s="519"/>
      <c r="E1119" s="522"/>
      <c r="F1119" s="522"/>
      <c r="G1119" s="522"/>
      <c r="H1119" s="522"/>
      <c r="I1119" s="522"/>
      <c r="J1119" s="522"/>
      <c r="K1119" s="523"/>
      <c r="L1119" s="524"/>
      <c r="M1119" s="524"/>
      <c r="N1119" s="524"/>
      <c r="O1119" s="525"/>
      <c r="P1119" s="525"/>
    </row>
    <row r="1120" spans="1:16" ht="21.75" customHeight="1" x14ac:dyDescent="0.35">
      <c r="A1120" s="519"/>
      <c r="B1120" s="519"/>
      <c r="C1120" s="519"/>
      <c r="D1120" s="519"/>
      <c r="E1120" s="522"/>
      <c r="F1120" s="522"/>
      <c r="G1120" s="522"/>
      <c r="H1120" s="522"/>
      <c r="I1120" s="522"/>
      <c r="J1120" s="522"/>
      <c r="K1120" s="523"/>
      <c r="L1120" s="524"/>
      <c r="M1120" s="524"/>
      <c r="N1120" s="524"/>
      <c r="O1120" s="525"/>
      <c r="P1120" s="525"/>
    </row>
    <row r="1121" spans="1:16" ht="21.75" customHeight="1" x14ac:dyDescent="0.35">
      <c r="A1121" s="519"/>
      <c r="B1121" s="519"/>
      <c r="C1121" s="519"/>
      <c r="D1121" s="519"/>
      <c r="E1121" s="522"/>
      <c r="F1121" s="522"/>
      <c r="G1121" s="522"/>
      <c r="H1121" s="522"/>
      <c r="I1121" s="522"/>
      <c r="J1121" s="522"/>
      <c r="K1121" s="523"/>
      <c r="L1121" s="524"/>
      <c r="M1121" s="524"/>
      <c r="N1121" s="524"/>
      <c r="O1121" s="525"/>
      <c r="P1121" s="525"/>
    </row>
    <row r="1122" spans="1:16" ht="21.75" customHeight="1" x14ac:dyDescent="0.35">
      <c r="A1122" s="519"/>
      <c r="B1122" s="519"/>
      <c r="C1122" s="519"/>
      <c r="D1122" s="519"/>
      <c r="E1122" s="522"/>
      <c r="F1122" s="522"/>
      <c r="G1122" s="522"/>
      <c r="H1122" s="522"/>
      <c r="I1122" s="522"/>
      <c r="J1122" s="522"/>
      <c r="K1122" s="523"/>
      <c r="L1122" s="524"/>
      <c r="M1122" s="524"/>
      <c r="N1122" s="524"/>
      <c r="O1122" s="525"/>
      <c r="P1122" s="525"/>
    </row>
    <row r="1123" spans="1:16" ht="21.75" customHeight="1" x14ac:dyDescent="0.35">
      <c r="A1123" s="519"/>
      <c r="B1123" s="519"/>
      <c r="C1123" s="519"/>
      <c r="D1123" s="519"/>
      <c r="E1123" s="522"/>
      <c r="F1123" s="522"/>
      <c r="G1123" s="522"/>
      <c r="H1123" s="522"/>
      <c r="I1123" s="522"/>
      <c r="J1123" s="522"/>
      <c r="K1123" s="523"/>
      <c r="L1123" s="524"/>
      <c r="M1123" s="524"/>
      <c r="N1123" s="524"/>
      <c r="O1123" s="525"/>
      <c r="P1123" s="525"/>
    </row>
    <row r="1124" spans="1:16" ht="21.75" customHeight="1" x14ac:dyDescent="0.35">
      <c r="A1124" s="519"/>
      <c r="B1124" s="519"/>
      <c r="C1124" s="519"/>
      <c r="D1124" s="519"/>
      <c r="E1124" s="522"/>
      <c r="F1124" s="522"/>
      <c r="G1124" s="522"/>
      <c r="H1124" s="522"/>
      <c r="I1124" s="522"/>
      <c r="J1124" s="522"/>
      <c r="K1124" s="523"/>
      <c r="L1124" s="524"/>
      <c r="M1124" s="524"/>
      <c r="N1124" s="524"/>
      <c r="O1124" s="525"/>
      <c r="P1124" s="525"/>
    </row>
    <row r="1125" spans="1:16" ht="21.75" customHeight="1" x14ac:dyDescent="0.35">
      <c r="A1125" s="519"/>
      <c r="B1125" s="519"/>
      <c r="C1125" s="519"/>
      <c r="D1125" s="519"/>
      <c r="E1125" s="522"/>
      <c r="F1125" s="522"/>
      <c r="G1125" s="522"/>
      <c r="H1125" s="522"/>
      <c r="I1125" s="522"/>
      <c r="J1125" s="522"/>
      <c r="K1125" s="523"/>
      <c r="L1125" s="524"/>
      <c r="M1125" s="524"/>
      <c r="N1125" s="524"/>
      <c r="O1125" s="525"/>
      <c r="P1125" s="525"/>
    </row>
    <row r="1126" spans="1:16" ht="21.75" customHeight="1" x14ac:dyDescent="0.35">
      <c r="A1126" s="519"/>
      <c r="B1126" s="519"/>
      <c r="C1126" s="519"/>
      <c r="D1126" s="519"/>
      <c r="E1126" s="522"/>
      <c r="F1126" s="522"/>
      <c r="G1126" s="522"/>
      <c r="H1126" s="522"/>
      <c r="I1126" s="522"/>
      <c r="J1126" s="522"/>
      <c r="K1126" s="523"/>
      <c r="L1126" s="524"/>
      <c r="M1126" s="524"/>
      <c r="N1126" s="524"/>
      <c r="O1126" s="525"/>
      <c r="P1126" s="525"/>
    </row>
    <row r="1127" spans="1:16" ht="21.75" customHeight="1" x14ac:dyDescent="0.35">
      <c r="A1127" s="519"/>
      <c r="B1127" s="519"/>
      <c r="C1127" s="519"/>
      <c r="D1127" s="519"/>
      <c r="E1127" s="522"/>
      <c r="F1127" s="522"/>
      <c r="G1127" s="522"/>
      <c r="H1127" s="522"/>
      <c r="I1127" s="522"/>
      <c r="J1127" s="522"/>
      <c r="K1127" s="523"/>
      <c r="L1127" s="524"/>
      <c r="M1127" s="524"/>
      <c r="N1127" s="524"/>
      <c r="O1127" s="525"/>
      <c r="P1127" s="525"/>
    </row>
    <row r="1128" spans="1:16" ht="21.75" customHeight="1" x14ac:dyDescent="0.35">
      <c r="A1128" s="519"/>
      <c r="B1128" s="519"/>
      <c r="C1128" s="519"/>
      <c r="D1128" s="519"/>
      <c r="E1128" s="522"/>
      <c r="F1128" s="522"/>
      <c r="G1128" s="522"/>
      <c r="H1128" s="522"/>
      <c r="I1128" s="522"/>
      <c r="J1128" s="522"/>
      <c r="K1128" s="523"/>
      <c r="L1128" s="524"/>
      <c r="M1128" s="524"/>
      <c r="N1128" s="524"/>
      <c r="O1128" s="525"/>
      <c r="P1128" s="525"/>
    </row>
    <row r="1129" spans="1:16" ht="21.75" customHeight="1" x14ac:dyDescent="0.35">
      <c r="A1129" s="519"/>
      <c r="B1129" s="519"/>
      <c r="C1129" s="519"/>
      <c r="D1129" s="519"/>
      <c r="E1129" s="522"/>
      <c r="F1129" s="522"/>
      <c r="G1129" s="522"/>
      <c r="H1129" s="522"/>
      <c r="I1129" s="522"/>
      <c r="J1129" s="522"/>
      <c r="K1129" s="523"/>
      <c r="L1129" s="524"/>
      <c r="M1129" s="524"/>
      <c r="N1129" s="524"/>
      <c r="O1129" s="525"/>
      <c r="P1129" s="525"/>
    </row>
    <row r="1130" spans="1:16" ht="21.75" customHeight="1" x14ac:dyDescent="0.35">
      <c r="A1130" s="519"/>
      <c r="B1130" s="519"/>
      <c r="C1130" s="519"/>
      <c r="D1130" s="519"/>
      <c r="E1130" s="522"/>
      <c r="F1130" s="522"/>
      <c r="G1130" s="522"/>
      <c r="H1130" s="522"/>
      <c r="I1130" s="522"/>
      <c r="J1130" s="522"/>
      <c r="K1130" s="523"/>
      <c r="L1130" s="524"/>
      <c r="M1130" s="524"/>
      <c r="N1130" s="524"/>
      <c r="O1130" s="525"/>
      <c r="P1130" s="525"/>
    </row>
    <row r="1131" spans="1:16" ht="21.75" customHeight="1" x14ac:dyDescent="0.35">
      <c r="A1131" s="519"/>
      <c r="B1131" s="519"/>
      <c r="C1131" s="519"/>
      <c r="D1131" s="519"/>
      <c r="E1131" s="522"/>
      <c r="F1131" s="522"/>
      <c r="G1131" s="522"/>
      <c r="H1131" s="522"/>
      <c r="I1131" s="522"/>
      <c r="J1131" s="522"/>
      <c r="K1131" s="523"/>
      <c r="L1131" s="524"/>
      <c r="M1131" s="524"/>
      <c r="N1131" s="524"/>
      <c r="O1131" s="525"/>
      <c r="P1131" s="525"/>
    </row>
    <row r="1132" spans="1:16" ht="21.75" customHeight="1" x14ac:dyDescent="0.35">
      <c r="A1132" s="519"/>
      <c r="B1132" s="519"/>
      <c r="C1132" s="519"/>
      <c r="D1132" s="519"/>
      <c r="E1132" s="522"/>
      <c r="F1132" s="522"/>
      <c r="G1132" s="522"/>
      <c r="H1132" s="522"/>
      <c r="I1132" s="522"/>
      <c r="J1132" s="522"/>
      <c r="K1132" s="523"/>
      <c r="L1132" s="524"/>
      <c r="M1132" s="524"/>
      <c r="N1132" s="524"/>
      <c r="O1132" s="525"/>
      <c r="P1132" s="525"/>
    </row>
    <row r="1133" spans="1:16" ht="21.75" customHeight="1" x14ac:dyDescent="0.35">
      <c r="A1133" s="519"/>
      <c r="B1133" s="519"/>
      <c r="C1133" s="519"/>
      <c r="D1133" s="519"/>
      <c r="E1133" s="522"/>
      <c r="F1133" s="522"/>
      <c r="G1133" s="522"/>
      <c r="H1133" s="522"/>
      <c r="I1133" s="522"/>
      <c r="J1133" s="522"/>
      <c r="K1133" s="523"/>
      <c r="L1133" s="524"/>
      <c r="M1133" s="524"/>
      <c r="N1133" s="524"/>
      <c r="O1133" s="525"/>
      <c r="P1133" s="525"/>
    </row>
    <row r="1134" spans="1:16" ht="21.75" customHeight="1" x14ac:dyDescent="0.35">
      <c r="A1134" s="519"/>
      <c r="B1134" s="519"/>
      <c r="C1134" s="519"/>
      <c r="D1134" s="519"/>
      <c r="E1134" s="522"/>
      <c r="F1134" s="522"/>
      <c r="G1134" s="522"/>
      <c r="H1134" s="522"/>
      <c r="I1134" s="522"/>
      <c r="J1134" s="522"/>
      <c r="K1134" s="523"/>
      <c r="L1134" s="524"/>
      <c r="M1134" s="524"/>
      <c r="N1134" s="524"/>
      <c r="O1134" s="525"/>
      <c r="P1134" s="525"/>
    </row>
    <row r="1135" spans="1:16" ht="21.75" customHeight="1" x14ac:dyDescent="0.35">
      <c r="A1135" s="519"/>
      <c r="B1135" s="519"/>
      <c r="C1135" s="519"/>
      <c r="D1135" s="519"/>
      <c r="E1135" s="522"/>
      <c r="F1135" s="522"/>
      <c r="G1135" s="522"/>
      <c r="H1135" s="522"/>
      <c r="I1135" s="522"/>
      <c r="J1135" s="522"/>
      <c r="K1135" s="523"/>
      <c r="L1135" s="524"/>
      <c r="M1135" s="524"/>
      <c r="N1135" s="524"/>
      <c r="O1135" s="525"/>
      <c r="P1135" s="525"/>
    </row>
    <row r="1136" spans="1:16" ht="21.75" customHeight="1" x14ac:dyDescent="0.35">
      <c r="A1136" s="519"/>
      <c r="B1136" s="519"/>
      <c r="C1136" s="519"/>
      <c r="D1136" s="519"/>
      <c r="E1136" s="522"/>
      <c r="F1136" s="522"/>
      <c r="G1136" s="522"/>
      <c r="H1136" s="522"/>
      <c r="I1136" s="522"/>
      <c r="J1136" s="522"/>
      <c r="K1136" s="523"/>
      <c r="L1136" s="524"/>
      <c r="M1136" s="524"/>
      <c r="N1136" s="524"/>
      <c r="O1136" s="525"/>
      <c r="P1136" s="525"/>
    </row>
    <row r="1137" spans="1:16" ht="21.75" customHeight="1" x14ac:dyDescent="0.35">
      <c r="A1137" s="519"/>
      <c r="B1137" s="519"/>
      <c r="C1137" s="519"/>
      <c r="D1137" s="519"/>
      <c r="E1137" s="522"/>
      <c r="F1137" s="522"/>
      <c r="G1137" s="522"/>
      <c r="H1137" s="522"/>
      <c r="I1137" s="522"/>
      <c r="J1137" s="522"/>
      <c r="K1137" s="523"/>
      <c r="L1137" s="524"/>
      <c r="M1137" s="524"/>
      <c r="N1137" s="524"/>
      <c r="O1137" s="525"/>
      <c r="P1137" s="525"/>
    </row>
    <row r="1138" spans="1:16" ht="21.75" customHeight="1" x14ac:dyDescent="0.35">
      <c r="A1138" s="519"/>
      <c r="B1138" s="519"/>
      <c r="C1138" s="519"/>
      <c r="D1138" s="519"/>
      <c r="E1138" s="522"/>
      <c r="F1138" s="522"/>
      <c r="G1138" s="522"/>
      <c r="H1138" s="522"/>
      <c r="I1138" s="522"/>
      <c r="J1138" s="522"/>
      <c r="K1138" s="523"/>
      <c r="L1138" s="524"/>
      <c r="M1138" s="524"/>
      <c r="N1138" s="524"/>
      <c r="O1138" s="525"/>
      <c r="P1138" s="525"/>
    </row>
    <row r="1139" spans="1:16" ht="21.75" customHeight="1" x14ac:dyDescent="0.35">
      <c r="A1139" s="519"/>
      <c r="B1139" s="519"/>
      <c r="C1139" s="519"/>
      <c r="D1139" s="519"/>
      <c r="E1139" s="522"/>
      <c r="F1139" s="522"/>
      <c r="G1139" s="522"/>
      <c r="H1139" s="522"/>
      <c r="I1139" s="522"/>
      <c r="J1139" s="522"/>
      <c r="K1139" s="523"/>
      <c r="L1139" s="524"/>
      <c r="M1139" s="524"/>
      <c r="N1139" s="524"/>
      <c r="O1139" s="525"/>
      <c r="P1139" s="525"/>
    </row>
    <row r="1140" spans="1:16" ht="21.75" customHeight="1" x14ac:dyDescent="0.35">
      <c r="A1140" s="519"/>
      <c r="B1140" s="519"/>
      <c r="C1140" s="519"/>
      <c r="D1140" s="519"/>
      <c r="E1140" s="522"/>
      <c r="F1140" s="522"/>
      <c r="G1140" s="522"/>
      <c r="H1140" s="522"/>
      <c r="I1140" s="522"/>
      <c r="J1140" s="522"/>
      <c r="K1140" s="523"/>
      <c r="L1140" s="524"/>
      <c r="M1140" s="524"/>
      <c r="N1140" s="524"/>
      <c r="O1140" s="525"/>
      <c r="P1140" s="525"/>
    </row>
    <row r="1141" spans="1:16" ht="21.75" customHeight="1" x14ac:dyDescent="0.35">
      <c r="A1141" s="519"/>
      <c r="B1141" s="519"/>
      <c r="C1141" s="519"/>
      <c r="D1141" s="519"/>
      <c r="E1141" s="522"/>
      <c r="F1141" s="522"/>
      <c r="G1141" s="522"/>
      <c r="H1141" s="522"/>
      <c r="I1141" s="522"/>
      <c r="J1141" s="522"/>
      <c r="K1141" s="523"/>
      <c r="L1141" s="524"/>
      <c r="M1141" s="524"/>
      <c r="N1141" s="524"/>
      <c r="O1141" s="525"/>
      <c r="P1141" s="525"/>
    </row>
    <row r="1142" spans="1:16" ht="21.75" customHeight="1" x14ac:dyDescent="0.35">
      <c r="A1142" s="519"/>
      <c r="B1142" s="519"/>
      <c r="C1142" s="519"/>
      <c r="D1142" s="519"/>
      <c r="E1142" s="522"/>
      <c r="F1142" s="522"/>
      <c r="G1142" s="522"/>
      <c r="H1142" s="522"/>
      <c r="I1142" s="522"/>
      <c r="J1142" s="522"/>
      <c r="K1142" s="523"/>
      <c r="L1142" s="524"/>
      <c r="M1142" s="524"/>
      <c r="N1142" s="524"/>
      <c r="O1142" s="525"/>
      <c r="P1142" s="525"/>
    </row>
    <row r="1143" spans="1:16" ht="21.75" customHeight="1" x14ac:dyDescent="0.35">
      <c r="A1143" s="519"/>
      <c r="B1143" s="519"/>
      <c r="C1143" s="519"/>
      <c r="D1143" s="519"/>
      <c r="E1143" s="522"/>
      <c r="F1143" s="522"/>
      <c r="G1143" s="522"/>
      <c r="H1143" s="522"/>
      <c r="I1143" s="522"/>
      <c r="J1143" s="522"/>
      <c r="K1143" s="523"/>
      <c r="L1143" s="524"/>
      <c r="M1143" s="524"/>
      <c r="N1143" s="524"/>
      <c r="O1143" s="525"/>
      <c r="P1143" s="525"/>
    </row>
  </sheetData>
  <mergeCells count="59">
    <mergeCell ref="D329:G329"/>
    <mergeCell ref="D332:F332"/>
    <mergeCell ref="D336:E336"/>
    <mergeCell ref="A1:P1"/>
    <mergeCell ref="A2:P2"/>
    <mergeCell ref="A3:P3"/>
    <mergeCell ref="D125:E125"/>
    <mergeCell ref="D140:G140"/>
    <mergeCell ref="D143:F143"/>
    <mergeCell ref="D147:E147"/>
    <mergeCell ref="D220:G220"/>
    <mergeCell ref="D94:G94"/>
    <mergeCell ref="D97:F97"/>
    <mergeCell ref="D101:E101"/>
    <mergeCell ref="D118:G118"/>
    <mergeCell ref="D121:F121"/>
    <mergeCell ref="D56:F56"/>
    <mergeCell ref="D60:E60"/>
    <mergeCell ref="D66:G66"/>
    <mergeCell ref="D69:F69"/>
    <mergeCell ref="D73:E73"/>
    <mergeCell ref="D41:G41"/>
    <mergeCell ref="D44:F44"/>
    <mergeCell ref="D48:E48"/>
    <mergeCell ref="B52:G52"/>
    <mergeCell ref="D53:G53"/>
    <mergeCell ref="D28:G28"/>
    <mergeCell ref="D31:F31"/>
    <mergeCell ref="D35:E35"/>
    <mergeCell ref="A38:G38"/>
    <mergeCell ref="B39:G39"/>
    <mergeCell ref="A17:G17"/>
    <mergeCell ref="D18:G18"/>
    <mergeCell ref="D21:F21"/>
    <mergeCell ref="D25:E25"/>
    <mergeCell ref="A27:G27"/>
    <mergeCell ref="D297:E297"/>
    <mergeCell ref="D310:G310"/>
    <mergeCell ref="D313:F313"/>
    <mergeCell ref="D317:E317"/>
    <mergeCell ref="H5:H6"/>
    <mergeCell ref="I5:K5"/>
    <mergeCell ref="L5:M5"/>
    <mergeCell ref="N5:P5"/>
    <mergeCell ref="A5:G6"/>
    <mergeCell ref="A7:G7"/>
    <mergeCell ref="D8:G8"/>
    <mergeCell ref="D11:F11"/>
    <mergeCell ref="D15:E15"/>
    <mergeCell ref="D271:G271"/>
    <mergeCell ref="D274:F274"/>
    <mergeCell ref="D278:E278"/>
    <mergeCell ref="D290:G290"/>
    <mergeCell ref="D293:F293"/>
    <mergeCell ref="D223:F223"/>
    <mergeCell ref="D227:E227"/>
    <mergeCell ref="D250:G250"/>
    <mergeCell ref="D253:F253"/>
    <mergeCell ref="D257:E257"/>
  </mergeCells>
  <printOptions horizontalCentered="1"/>
  <pageMargins left="0.23622047244094491" right="0.27559055118110237" top="0.31496062992125984" bottom="0.39370078740157483" header="0" footer="0"/>
  <pageSetup paperSize="9" scale="39" fitToHeight="0" orientation="portrait" r:id="rId1"/>
  <headerFooter>
    <oddHeader>&amp;R</oddHeader>
    <oddFooter>&amp;Lหน้า &amp;P/&amp;N&amp;R&amp;F</oddFooter>
  </headerFooter>
  <rowBreaks count="7" manualBreakCount="7">
    <brk id="90" max="16383" man="1"/>
    <brk id="175" max="16383" man="1"/>
    <brk id="246" max="16383" man="1"/>
    <brk id="326" max="16383" man="1"/>
    <brk id="400" max="16383" man="1"/>
    <brk id="486" max="16383" man="1"/>
    <brk id="563" max="16383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15</vt:i4>
      </vt:variant>
      <vt:variant>
        <vt:lpstr>ช่วงที่มีชื่อ</vt:lpstr>
      </vt:variant>
      <vt:variant>
        <vt:i4>15</vt:i4>
      </vt:variant>
    </vt:vector>
  </HeadingPairs>
  <TitlesOfParts>
    <vt:vector size="30" baseType="lpstr">
      <vt:lpstr>รวมใต้</vt:lpstr>
      <vt:lpstr>กระบี่</vt:lpstr>
      <vt:lpstr>ชุมพร</vt:lpstr>
      <vt:lpstr>ตรัง</vt:lpstr>
      <vt:lpstr>นครศรีธรรมราช</vt:lpstr>
      <vt:lpstr>นราธิวาส</vt:lpstr>
      <vt:lpstr>ปัตตานี</vt:lpstr>
      <vt:lpstr>พังงา</vt:lpstr>
      <vt:lpstr>พัทลุง</vt:lpstr>
      <vt:lpstr>ภูเก็ต</vt:lpstr>
      <vt:lpstr>ยะลา</vt:lpstr>
      <vt:lpstr>ระนอง</vt:lpstr>
      <vt:lpstr>สงขลา</vt:lpstr>
      <vt:lpstr>สตูล</vt:lpstr>
      <vt:lpstr>สุราษฎร์ธานี</vt:lpstr>
      <vt:lpstr>กระบี่!Print_Titles</vt:lpstr>
      <vt:lpstr>ชุมพร!Print_Titles</vt:lpstr>
      <vt:lpstr>ตรัง!Print_Titles</vt:lpstr>
      <vt:lpstr>นครศรีธรรมราช!Print_Titles</vt:lpstr>
      <vt:lpstr>นราธิวาส!Print_Titles</vt:lpstr>
      <vt:lpstr>ปัตตานี!Print_Titles</vt:lpstr>
      <vt:lpstr>พังงา!Print_Titles</vt:lpstr>
      <vt:lpstr>พัทลุง!Print_Titles</vt:lpstr>
      <vt:lpstr>ภูเก็ต!Print_Titles</vt:lpstr>
      <vt:lpstr>ยะลา!Print_Titles</vt:lpstr>
      <vt:lpstr>รวมใต้!Print_Titles</vt:lpstr>
      <vt:lpstr>ระนอง!Print_Titles</vt:lpstr>
      <vt:lpstr>สงขลา!Print_Titles</vt:lpstr>
      <vt:lpstr>สตูล!Print_Titles</vt:lpstr>
      <vt:lpstr>สุราษฎร์ธานี!Print_Titles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BarbieBenz</cp:lastModifiedBy>
  <cp:lastPrinted>2022-04-21T06:51:02Z</cp:lastPrinted>
  <dcterms:modified xsi:type="dcterms:W3CDTF">2022-04-21T06:59:40Z</dcterms:modified>
</cp:coreProperties>
</file>